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2995" windowHeight="10245" activeTab="2"/>
  </bookViews>
  <sheets>
    <sheet name="Design tool" sheetId="1" r:id="rId1"/>
    <sheet name="Typ Max load Thermal results" sheetId="2" r:id="rId2"/>
    <sheet name="Minimum Vin" sheetId="3" r:id="rId3"/>
  </sheets>
  <externalReferences>
    <externalReference r:id="rId4"/>
    <externalReference r:id="rId5"/>
    <externalReference r:id="rId6"/>
  </externalReferences>
  <definedNames>
    <definedName name="Cesr">'Design tool'!$T$14</definedName>
    <definedName name="com_c1">'Design tool'!$W$18</definedName>
    <definedName name="comp_C1">'Design tool'!$T$24</definedName>
    <definedName name="comp_C2">'Design tool'!$T$25</definedName>
    <definedName name="comp_R2">'Design tool'!$B$8</definedName>
    <definedName name="Cout">'Design tool'!$T$13</definedName>
    <definedName name="D">'Design tool'!$S$18</definedName>
    <definedName name="D_">'Design tool'!$T$1</definedName>
    <definedName name="Dmax">'Design tool'!$T$11</definedName>
    <definedName name="Enter_Values">'Design tool'!$B$2:$B$13</definedName>
    <definedName name="Fsw" localSheetId="1">#REF!</definedName>
    <definedName name="Fsw">'Design tool'!$S$9</definedName>
    <definedName name="FswMax">'Typ Max load Thermal results'!$E$20</definedName>
    <definedName name="FswNom">'Typ Max load Thermal results'!$H$9</definedName>
    <definedName name="gm">'Design tool'!$T$19</definedName>
    <definedName name="ILIM">#REF!</definedName>
    <definedName name="ILIM8902">#REF!</definedName>
    <definedName name="Ind">#REF!</definedName>
    <definedName name="Iout">'Typ Max load Thermal results'!$H$6</definedName>
    <definedName name="Iq">'Typ Max load Thermal results'!$H$17</definedName>
    <definedName name="L">'Design tool'!$T$29</definedName>
    <definedName name="LDOLoad">'Typ Max load Thermal results'!$H$16</definedName>
    <definedName name="LoadRef">'Typ Max load Thermal results'!$H$7</definedName>
    <definedName name="mc">'Design tool'!$T$8</definedName>
    <definedName name="OutCur">'Typ Max load Thermal results'!$H$6</definedName>
    <definedName name="R0">'Design tool'!$T$17</definedName>
    <definedName name="Rdson">#REF!</definedName>
    <definedName name="Rdson1p2A">'Typ Max load Thermal results'!$H$13</definedName>
    <definedName name="Rout">'Design tool'!$T$9</definedName>
    <definedName name="Rout_">'Design tool'!$S$24</definedName>
    <definedName name="Rthetaja">'Typ Max load Thermal results'!$H$14</definedName>
    <definedName name="SC">#REF!</definedName>
    <definedName name="SCstart">#REF!</definedName>
    <definedName name="sssss">'Design tool'!$U$9</definedName>
    <definedName name="SWscaling">'Typ Max load Thermal results'!$O$14</definedName>
    <definedName name="SWscaling3">'Typ Max load Thermal results'!$Q$14</definedName>
    <definedName name="t1ref">'Typ Max load Thermal results'!$E$24</definedName>
    <definedName name="t2ref">'Typ Max load Thermal results'!$E$25</definedName>
    <definedName name="t3ref">'Typ Max load Thermal results'!$E$26</definedName>
    <definedName name="t4ref">'Typ Max load Thermal results'!$E$27</definedName>
    <definedName name="Tsw_">'Design tool'!$T$3</definedName>
    <definedName name="UseLDO">'Typ Max load Thermal results'!$J$16</definedName>
    <definedName name="Vd">#REF!</definedName>
    <definedName name="Vdiode">'Typ Max load Thermal results'!$H$11</definedName>
    <definedName name="Vin">#REF!</definedName>
    <definedName name="VinILIM">#REF!</definedName>
    <definedName name="VinILIM13">#REF!</definedName>
    <definedName name="VinILIM16">#REF!</definedName>
    <definedName name="Vinref">'Typ Max load Thermal results'!$E$19</definedName>
    <definedName name="Vout">'Typ Max load Thermal results'!$H$5</definedName>
    <definedName name="Vout_">'Design tool'!$T$30</definedName>
    <definedName name="Vout33">#REF!</definedName>
    <definedName name="Vout3p3">'Typ Max load Thermal results'!#REF!</definedName>
    <definedName name="Vout5p0">'Typ Max load Thermal results'!#REF!</definedName>
    <definedName name="wp1e">'Design tool'!$T$22</definedName>
    <definedName name="wp2e">'Design tool'!$T$23</definedName>
    <definedName name="wz2e">'Design tool'!$T$21</definedName>
  </definedNames>
  <calcPr calcId="145621"/>
</workbook>
</file>

<file path=xl/calcChain.xml><?xml version="1.0" encoding="utf-8"?>
<calcChain xmlns="http://schemas.openxmlformats.org/spreadsheetml/2006/main">
  <c r="E16" i="3" l="1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4" i="3"/>
  <c r="E3" i="3"/>
  <c r="J46" i="2"/>
  <c r="I46" i="2"/>
  <c r="H46" i="2"/>
  <c r="G46" i="2"/>
  <c r="F46" i="2"/>
  <c r="E46" i="2"/>
  <c r="J39" i="2"/>
  <c r="I39" i="2"/>
  <c r="H39" i="2"/>
  <c r="G39" i="2"/>
  <c r="F39" i="2"/>
  <c r="E39" i="2"/>
  <c r="F37" i="2"/>
  <c r="J34" i="2"/>
  <c r="I34" i="2"/>
  <c r="H34" i="2"/>
  <c r="G34" i="2"/>
  <c r="F34" i="2"/>
  <c r="E34" i="2"/>
  <c r="J27" i="2"/>
  <c r="I27" i="2"/>
  <c r="H27" i="2"/>
  <c r="G27" i="2"/>
  <c r="F27" i="2"/>
  <c r="J26" i="2"/>
  <c r="I26" i="2"/>
  <c r="H26" i="2"/>
  <c r="G26" i="2"/>
  <c r="F26" i="2"/>
  <c r="J25" i="2"/>
  <c r="I25" i="2"/>
  <c r="H25" i="2"/>
  <c r="G25" i="2"/>
  <c r="F25" i="2"/>
  <c r="J24" i="2"/>
  <c r="I24" i="2"/>
  <c r="H24" i="2"/>
  <c r="G24" i="2"/>
  <c r="F24" i="2"/>
  <c r="J22" i="2"/>
  <c r="I22" i="2"/>
  <c r="H22" i="2"/>
  <c r="G22" i="2"/>
  <c r="F22" i="2"/>
  <c r="E22" i="2"/>
  <c r="J20" i="2"/>
  <c r="J31" i="2" s="1"/>
  <c r="I20" i="2"/>
  <c r="I31" i="2" s="1"/>
  <c r="H20" i="2"/>
  <c r="H37" i="2" s="1"/>
  <c r="G20" i="2"/>
  <c r="F20" i="2"/>
  <c r="F31" i="2" s="1"/>
  <c r="E20" i="2"/>
  <c r="E31" i="2" s="1"/>
  <c r="E30" i="2" l="1"/>
  <c r="E32" i="2"/>
  <c r="F30" i="2"/>
  <c r="F32" i="2"/>
  <c r="J32" i="2"/>
  <c r="J30" i="2"/>
  <c r="E37" i="2"/>
  <c r="I37" i="2"/>
  <c r="G29" i="2"/>
  <c r="I32" i="2"/>
  <c r="I30" i="2"/>
  <c r="J37" i="2"/>
  <c r="G31" i="2"/>
  <c r="E29" i="2"/>
  <c r="E33" i="2" s="1"/>
  <c r="E35" i="2" s="1"/>
  <c r="I29" i="2"/>
  <c r="I33" i="2" s="1"/>
  <c r="I35" i="2" s="1"/>
  <c r="I41" i="2" s="1"/>
  <c r="I43" i="2" s="1"/>
  <c r="I44" i="2" s="1"/>
  <c r="G30" i="2"/>
  <c r="G32" i="2"/>
  <c r="G37" i="2"/>
  <c r="H29" i="2"/>
  <c r="H31" i="2"/>
  <c r="F29" i="2"/>
  <c r="J29" i="2"/>
  <c r="J33" i="2" s="1"/>
  <c r="J35" i="2" s="1"/>
  <c r="J41" i="2" s="1"/>
  <c r="J43" i="2" s="1"/>
  <c r="J44" i="2" s="1"/>
  <c r="H30" i="2"/>
  <c r="H32" i="2"/>
  <c r="B33" i="1"/>
  <c r="B32" i="1"/>
  <c r="E41" i="2" l="1"/>
  <c r="E43" i="2" s="1"/>
  <c r="E44" i="2" s="1"/>
  <c r="F33" i="2"/>
  <c r="F35" i="2" s="1"/>
  <c r="F41" i="2" s="1"/>
  <c r="F43" i="2" s="1"/>
  <c r="F44" i="2" s="1"/>
  <c r="G33" i="2"/>
  <c r="G35" i="2" s="1"/>
  <c r="G41" i="2" s="1"/>
  <c r="G43" i="2" s="1"/>
  <c r="G44" i="2" s="1"/>
  <c r="H33" i="2"/>
  <c r="H35" i="2" s="1"/>
  <c r="H41" i="2" s="1"/>
  <c r="H43" i="2" s="1"/>
  <c r="H44" i="2" s="1"/>
  <c r="G12" i="1" l="1"/>
  <c r="G4" i="1"/>
  <c r="D7" i="1"/>
  <c r="B7" i="1"/>
  <c r="T19" i="1" l="1"/>
  <c r="T17" i="1"/>
  <c r="T14" i="1"/>
  <c r="T13" i="1"/>
  <c r="T30" i="1"/>
  <c r="T29" i="1"/>
  <c r="Z3" i="1"/>
  <c r="Z4" i="1"/>
  <c r="Z5" i="1"/>
  <c r="Z6" i="1"/>
  <c r="AA6" i="1" s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AA34" i="1" s="1"/>
  <c r="Z35" i="1"/>
  <c r="Z36" i="1"/>
  <c r="AA36" i="1" s="1"/>
  <c r="Z37" i="1"/>
  <c r="Z38" i="1"/>
  <c r="AA38" i="1" s="1"/>
  <c r="Z39" i="1"/>
  <c r="Z40" i="1"/>
  <c r="AA40" i="1" s="1"/>
  <c r="Z41" i="1"/>
  <c r="Z42" i="1"/>
  <c r="AA42" i="1" s="1"/>
  <c r="Z43" i="1"/>
  <c r="Z44" i="1"/>
  <c r="AA44" i="1" s="1"/>
  <c r="Z45" i="1"/>
  <c r="Z46" i="1"/>
  <c r="AA46" i="1" s="1"/>
  <c r="Z47" i="1"/>
  <c r="Z48" i="1"/>
  <c r="AA48" i="1" s="1"/>
  <c r="Z49" i="1"/>
  <c r="Z50" i="1"/>
  <c r="AA50" i="1" s="1"/>
  <c r="Z51" i="1"/>
  <c r="Z52" i="1"/>
  <c r="AA52" i="1" s="1"/>
  <c r="Z53" i="1"/>
  <c r="Z54" i="1"/>
  <c r="AA54" i="1" s="1"/>
  <c r="Z55" i="1"/>
  <c r="Z56" i="1"/>
  <c r="AA56" i="1" s="1"/>
  <c r="Z57" i="1"/>
  <c r="Z58" i="1"/>
  <c r="AA58" i="1" s="1"/>
  <c r="Z59" i="1"/>
  <c r="Z60" i="1"/>
  <c r="AA60" i="1" s="1"/>
  <c r="Z61" i="1"/>
  <c r="Z62" i="1"/>
  <c r="AA62" i="1" s="1"/>
  <c r="Z63" i="1"/>
  <c r="Z64" i="1"/>
  <c r="AA64" i="1" s="1"/>
  <c r="Z65" i="1"/>
  <c r="Z66" i="1"/>
  <c r="AA66" i="1" s="1"/>
  <c r="Z67" i="1"/>
  <c r="Z68" i="1"/>
  <c r="AA68" i="1" s="1"/>
  <c r="Z69" i="1"/>
  <c r="Z70" i="1"/>
  <c r="AA70" i="1" s="1"/>
  <c r="Z71" i="1"/>
  <c r="Z72" i="1"/>
  <c r="AA72" i="1" s="1"/>
  <c r="Z73" i="1"/>
  <c r="Z74" i="1"/>
  <c r="AA74" i="1" s="1"/>
  <c r="Z75" i="1"/>
  <c r="Z76" i="1"/>
  <c r="AA76" i="1" s="1"/>
  <c r="Z77" i="1"/>
  <c r="Z78" i="1"/>
  <c r="AA78" i="1" s="1"/>
  <c r="Z79" i="1"/>
  <c r="Z80" i="1"/>
  <c r="AA80" i="1" s="1"/>
  <c r="Z81" i="1"/>
  <c r="Z82" i="1"/>
  <c r="AA82" i="1" s="1"/>
  <c r="Z83" i="1"/>
  <c r="Z84" i="1"/>
  <c r="AA84" i="1" s="1"/>
  <c r="Z85" i="1"/>
  <c r="Z86" i="1"/>
  <c r="AA86" i="1" s="1"/>
  <c r="Z87" i="1"/>
  <c r="Z88" i="1"/>
  <c r="AA88" i="1" s="1"/>
  <c r="Z89" i="1"/>
  <c r="Z90" i="1"/>
  <c r="AA90" i="1" s="1"/>
  <c r="Z91" i="1"/>
  <c r="Z92" i="1"/>
  <c r="AA92" i="1" s="1"/>
  <c r="Z93" i="1"/>
  <c r="Z94" i="1"/>
  <c r="AA94" i="1" s="1"/>
  <c r="Z95" i="1"/>
  <c r="Z96" i="1"/>
  <c r="AA96" i="1" s="1"/>
  <c r="Z97" i="1"/>
  <c r="Z98" i="1"/>
  <c r="AA98" i="1" s="1"/>
  <c r="Z99" i="1"/>
  <c r="Z100" i="1"/>
  <c r="AA100" i="1" s="1"/>
  <c r="Z101" i="1"/>
  <c r="Z102" i="1"/>
  <c r="AA102" i="1" s="1"/>
  <c r="Z103" i="1"/>
  <c r="Z104" i="1"/>
  <c r="AA104" i="1" s="1"/>
  <c r="Z105" i="1"/>
  <c r="Z106" i="1"/>
  <c r="AA106" i="1" s="1"/>
  <c r="Z107" i="1"/>
  <c r="Z108" i="1"/>
  <c r="AA108" i="1" s="1"/>
  <c r="Z109" i="1"/>
  <c r="Z110" i="1"/>
  <c r="AA110" i="1" s="1"/>
  <c r="Z111" i="1"/>
  <c r="Z112" i="1"/>
  <c r="AA112" i="1" s="1"/>
  <c r="Z113" i="1"/>
  <c r="Z114" i="1"/>
  <c r="AA114" i="1" s="1"/>
  <c r="Z115" i="1"/>
  <c r="Z116" i="1"/>
  <c r="AA116" i="1" s="1"/>
  <c r="Z117" i="1"/>
  <c r="Z118" i="1"/>
  <c r="AA118" i="1" s="1"/>
  <c r="Z119" i="1"/>
  <c r="Z120" i="1"/>
  <c r="AA120" i="1" s="1"/>
  <c r="Z121" i="1"/>
  <c r="Z122" i="1"/>
  <c r="AA122" i="1" s="1"/>
  <c r="Z123" i="1"/>
  <c r="Z124" i="1"/>
  <c r="AA124" i="1" s="1"/>
  <c r="Z125" i="1"/>
  <c r="Z126" i="1"/>
  <c r="AA126" i="1" s="1"/>
  <c r="Z127" i="1"/>
  <c r="Z128" i="1"/>
  <c r="AA128" i="1" s="1"/>
  <c r="Z129" i="1"/>
  <c r="Z130" i="1"/>
  <c r="AA130" i="1" s="1"/>
  <c r="Z131" i="1"/>
  <c r="Z132" i="1"/>
  <c r="AA132" i="1" s="1"/>
  <c r="Z133" i="1"/>
  <c r="Z134" i="1"/>
  <c r="AA134" i="1" s="1"/>
  <c r="Z135" i="1"/>
  <c r="Z136" i="1"/>
  <c r="AA136" i="1" s="1"/>
  <c r="Z137" i="1"/>
  <c r="Z138" i="1"/>
  <c r="AA138" i="1" s="1"/>
  <c r="Z139" i="1"/>
  <c r="Z140" i="1"/>
  <c r="AA140" i="1" s="1"/>
  <c r="Z141" i="1"/>
  <c r="Z142" i="1"/>
  <c r="AA142" i="1" s="1"/>
  <c r="Z143" i="1"/>
  <c r="Z144" i="1"/>
  <c r="AA144" i="1" s="1"/>
  <c r="Z145" i="1"/>
  <c r="Z146" i="1"/>
  <c r="AA146" i="1" s="1"/>
  <c r="Z147" i="1"/>
  <c r="Z148" i="1"/>
  <c r="AA148" i="1" s="1"/>
  <c r="Z149" i="1"/>
  <c r="Z150" i="1"/>
  <c r="AA150" i="1" s="1"/>
  <c r="Z151" i="1"/>
  <c r="Z152" i="1"/>
  <c r="AA152" i="1" s="1"/>
  <c r="Z153" i="1"/>
  <c r="Z154" i="1"/>
  <c r="AA154" i="1" s="1"/>
  <c r="Z155" i="1"/>
  <c r="Z156" i="1"/>
  <c r="AA156" i="1" s="1"/>
  <c r="Z157" i="1"/>
  <c r="Z158" i="1"/>
  <c r="AA158" i="1" s="1"/>
  <c r="Z159" i="1"/>
  <c r="Z160" i="1"/>
  <c r="AA160" i="1" s="1"/>
  <c r="Z161" i="1"/>
  <c r="Z162" i="1"/>
  <c r="AA162" i="1" s="1"/>
  <c r="Z163" i="1"/>
  <c r="Z164" i="1"/>
  <c r="AA164" i="1" s="1"/>
  <c r="Z165" i="1"/>
  <c r="Z166" i="1"/>
  <c r="AA166" i="1" s="1"/>
  <c r="Z167" i="1"/>
  <c r="Z168" i="1"/>
  <c r="AA168" i="1" s="1"/>
  <c r="Z169" i="1"/>
  <c r="Z170" i="1"/>
  <c r="AA170" i="1" s="1"/>
  <c r="Z171" i="1"/>
  <c r="Z172" i="1"/>
  <c r="AA172" i="1" s="1"/>
  <c r="Z173" i="1"/>
  <c r="Z174" i="1"/>
  <c r="AA174" i="1" s="1"/>
  <c r="Z175" i="1"/>
  <c r="Z176" i="1"/>
  <c r="AA176" i="1" s="1"/>
  <c r="Z177" i="1"/>
  <c r="Z178" i="1"/>
  <c r="AA178" i="1" s="1"/>
  <c r="Z179" i="1"/>
  <c r="Z180" i="1"/>
  <c r="AA180" i="1" s="1"/>
  <c r="Z181" i="1"/>
  <c r="Z182" i="1"/>
  <c r="AA182" i="1" s="1"/>
  <c r="Z183" i="1"/>
  <c r="Z184" i="1"/>
  <c r="AA184" i="1" s="1"/>
  <c r="Z185" i="1"/>
  <c r="Z186" i="1"/>
  <c r="AA186" i="1" s="1"/>
  <c r="Z187" i="1"/>
  <c r="Z188" i="1"/>
  <c r="AA188" i="1" s="1"/>
  <c r="Z189" i="1"/>
  <c r="Z190" i="1"/>
  <c r="AA190" i="1" s="1"/>
  <c r="Z191" i="1"/>
  <c r="Z192" i="1"/>
  <c r="AA192" i="1" s="1"/>
  <c r="Z193" i="1"/>
  <c r="Z194" i="1"/>
  <c r="AA194" i="1" s="1"/>
  <c r="Z195" i="1"/>
  <c r="Z196" i="1"/>
  <c r="AA196" i="1" s="1"/>
  <c r="Z197" i="1"/>
  <c r="Z198" i="1"/>
  <c r="AA198" i="1" s="1"/>
  <c r="Z199" i="1"/>
  <c r="Z200" i="1"/>
  <c r="AA200" i="1" s="1"/>
  <c r="Z201" i="1"/>
  <c r="Z202" i="1"/>
  <c r="AA202" i="1" s="1"/>
  <c r="Z2" i="1"/>
  <c r="AA2" i="1" s="1"/>
  <c r="W5" i="1"/>
  <c r="T7" i="1"/>
  <c r="T8" i="1" s="1"/>
  <c r="B18" i="1"/>
  <c r="B38" i="1"/>
  <c r="AK2" i="1" s="1"/>
  <c r="B37" i="1"/>
  <c r="B29" i="1"/>
  <c r="B30" i="1" s="1"/>
  <c r="B23" i="1"/>
  <c r="T3" i="1"/>
  <c r="AA201" i="1"/>
  <c r="AA199" i="1"/>
  <c r="AA197" i="1"/>
  <c r="AA195" i="1"/>
  <c r="AA193" i="1"/>
  <c r="AA191" i="1"/>
  <c r="AA189" i="1"/>
  <c r="AA187" i="1"/>
  <c r="AA185" i="1"/>
  <c r="AA183" i="1"/>
  <c r="AA181" i="1"/>
  <c r="AA179" i="1"/>
  <c r="AA177" i="1"/>
  <c r="AA175" i="1"/>
  <c r="AA173" i="1"/>
  <c r="AA171" i="1"/>
  <c r="AA169" i="1"/>
  <c r="AA167" i="1"/>
  <c r="AA165" i="1"/>
  <c r="AA163" i="1"/>
  <c r="AA161" i="1"/>
  <c r="AA159" i="1"/>
  <c r="AA157" i="1"/>
  <c r="AA155" i="1"/>
  <c r="AA153" i="1"/>
  <c r="AA151" i="1"/>
  <c r="AA149" i="1"/>
  <c r="AA147" i="1"/>
  <c r="AA145" i="1"/>
  <c r="AA143" i="1"/>
  <c r="AA141" i="1"/>
  <c r="AA139" i="1"/>
  <c r="AA137" i="1"/>
  <c r="AA135" i="1"/>
  <c r="AA133" i="1"/>
  <c r="AA131" i="1"/>
  <c r="AA129" i="1"/>
  <c r="AA127" i="1"/>
  <c r="AA125" i="1"/>
  <c r="AA123" i="1"/>
  <c r="AA121" i="1"/>
  <c r="AA119" i="1"/>
  <c r="AA117" i="1"/>
  <c r="AA115" i="1"/>
  <c r="AA113" i="1"/>
  <c r="AA111" i="1"/>
  <c r="AA109" i="1"/>
  <c r="AA107" i="1"/>
  <c r="AA105" i="1"/>
  <c r="AA103" i="1"/>
  <c r="AA101" i="1"/>
  <c r="AA99" i="1"/>
  <c r="AA97" i="1"/>
  <c r="AA95" i="1"/>
  <c r="AA93" i="1"/>
  <c r="AA91" i="1"/>
  <c r="AA89" i="1"/>
  <c r="AA87" i="1"/>
  <c r="AA85" i="1"/>
  <c r="AA83" i="1"/>
  <c r="AA81" i="1"/>
  <c r="AA79" i="1"/>
  <c r="AA77" i="1"/>
  <c r="AA75" i="1"/>
  <c r="AA73" i="1"/>
  <c r="AA71" i="1"/>
  <c r="AA69" i="1"/>
  <c r="AA67" i="1"/>
  <c r="AA65" i="1"/>
  <c r="AA63" i="1"/>
  <c r="AA61" i="1"/>
  <c r="AA59" i="1"/>
  <c r="AA57" i="1"/>
  <c r="AA55" i="1"/>
  <c r="AA53" i="1"/>
  <c r="AA51" i="1"/>
  <c r="AA49" i="1"/>
  <c r="AA47" i="1"/>
  <c r="AA45" i="1"/>
  <c r="AA43" i="1"/>
  <c r="AA41" i="1"/>
  <c r="AA39" i="1"/>
  <c r="AA37" i="1"/>
  <c r="AA35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T16" i="1"/>
  <c r="AA14" i="1"/>
  <c r="AA13" i="1"/>
  <c r="AA12" i="1"/>
  <c r="AA11" i="1"/>
  <c r="AA10" i="1"/>
  <c r="AA9" i="1"/>
  <c r="AA8" i="1"/>
  <c r="AA7" i="1"/>
  <c r="AA5" i="1"/>
  <c r="AA4" i="1"/>
  <c r="AA3" i="1"/>
  <c r="AB3" i="1" l="1"/>
  <c r="AB7" i="1"/>
  <c r="AB11" i="1"/>
  <c r="AB15" i="1"/>
  <c r="AB19" i="1"/>
  <c r="AB23" i="1"/>
  <c r="AB27" i="1"/>
  <c r="AB31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AB91" i="1"/>
  <c r="AB95" i="1"/>
  <c r="AB99" i="1"/>
  <c r="AB103" i="1"/>
  <c r="AB107" i="1"/>
  <c r="AB111" i="1"/>
  <c r="AB115" i="1"/>
  <c r="AB119" i="1"/>
  <c r="AB123" i="1"/>
  <c r="AB127" i="1"/>
  <c r="AB131" i="1"/>
  <c r="AB135" i="1"/>
  <c r="AB139" i="1"/>
  <c r="AB143" i="1"/>
  <c r="AB147" i="1"/>
  <c r="AB151" i="1"/>
  <c r="AB155" i="1"/>
  <c r="AB159" i="1"/>
  <c r="AB163" i="1"/>
  <c r="AB167" i="1"/>
  <c r="AB171" i="1"/>
  <c r="AB175" i="1"/>
  <c r="AB179" i="1"/>
  <c r="AB183" i="1"/>
  <c r="AB187" i="1"/>
  <c r="AB191" i="1"/>
  <c r="AB195" i="1"/>
  <c r="AB199" i="1"/>
  <c r="AB2" i="1"/>
  <c r="AB21" i="1"/>
  <c r="AB57" i="1"/>
  <c r="AB65" i="1"/>
  <c r="AB77" i="1"/>
  <c r="AB85" i="1"/>
  <c r="AB93" i="1"/>
  <c r="AB101" i="1"/>
  <c r="AB109" i="1"/>
  <c r="AB117" i="1"/>
  <c r="AB125" i="1"/>
  <c r="AB133" i="1"/>
  <c r="AB141" i="1"/>
  <c r="AB149" i="1"/>
  <c r="AB157" i="1"/>
  <c r="AB165" i="1"/>
  <c r="AB173" i="1"/>
  <c r="AB181" i="1"/>
  <c r="AB189" i="1"/>
  <c r="AB197" i="1"/>
  <c r="AB6" i="1"/>
  <c r="AB18" i="1"/>
  <c r="AB26" i="1"/>
  <c r="AB34" i="1"/>
  <c r="AB38" i="1"/>
  <c r="AB4" i="1"/>
  <c r="AB8" i="1"/>
  <c r="AB12" i="1"/>
  <c r="AB16" i="1"/>
  <c r="AB20" i="1"/>
  <c r="AB24" i="1"/>
  <c r="AB28" i="1"/>
  <c r="AB32" i="1"/>
  <c r="AB36" i="1"/>
  <c r="AB40" i="1"/>
  <c r="AB44" i="1"/>
  <c r="AB48" i="1"/>
  <c r="AB52" i="1"/>
  <c r="AB56" i="1"/>
  <c r="AB60" i="1"/>
  <c r="AB64" i="1"/>
  <c r="AB68" i="1"/>
  <c r="AB72" i="1"/>
  <c r="AB76" i="1"/>
  <c r="AB80" i="1"/>
  <c r="AB84" i="1"/>
  <c r="AB88" i="1"/>
  <c r="AB92" i="1"/>
  <c r="AB96" i="1"/>
  <c r="AB100" i="1"/>
  <c r="AB104" i="1"/>
  <c r="AB108" i="1"/>
  <c r="AB112" i="1"/>
  <c r="AB116" i="1"/>
  <c r="AB120" i="1"/>
  <c r="AB124" i="1"/>
  <c r="AB128" i="1"/>
  <c r="AB132" i="1"/>
  <c r="AB136" i="1"/>
  <c r="AB140" i="1"/>
  <c r="AB144" i="1"/>
  <c r="AB148" i="1"/>
  <c r="AB152" i="1"/>
  <c r="AB156" i="1"/>
  <c r="AB160" i="1"/>
  <c r="AB164" i="1"/>
  <c r="AB168" i="1"/>
  <c r="AB172" i="1"/>
  <c r="AB176" i="1"/>
  <c r="AB180" i="1"/>
  <c r="AB184" i="1"/>
  <c r="AB188" i="1"/>
  <c r="AB192" i="1"/>
  <c r="AB196" i="1"/>
  <c r="AB200" i="1"/>
  <c r="AB5" i="1"/>
  <c r="AB9" i="1"/>
  <c r="AB13" i="1"/>
  <c r="AB17" i="1"/>
  <c r="AB25" i="1"/>
  <c r="AB29" i="1"/>
  <c r="AB33" i="1"/>
  <c r="AB37" i="1"/>
  <c r="AB41" i="1"/>
  <c r="AB45" i="1"/>
  <c r="AB49" i="1"/>
  <c r="AB53" i="1"/>
  <c r="AB61" i="1"/>
  <c r="AB69" i="1"/>
  <c r="AB73" i="1"/>
  <c r="AB81" i="1"/>
  <c r="AB89" i="1"/>
  <c r="AB97" i="1"/>
  <c r="AB105" i="1"/>
  <c r="AB113" i="1"/>
  <c r="AB121" i="1"/>
  <c r="AB129" i="1"/>
  <c r="AB137" i="1"/>
  <c r="AB145" i="1"/>
  <c r="AB153" i="1"/>
  <c r="AB161" i="1"/>
  <c r="AB169" i="1"/>
  <c r="AB177" i="1"/>
  <c r="AB185" i="1"/>
  <c r="AB193" i="1"/>
  <c r="AB201" i="1"/>
  <c r="AB10" i="1"/>
  <c r="AB14" i="1"/>
  <c r="AB22" i="1"/>
  <c r="AB30" i="1"/>
  <c r="AB58" i="1"/>
  <c r="AB186" i="1"/>
  <c r="AB46" i="1"/>
  <c r="AB62" i="1"/>
  <c r="AB78" i="1"/>
  <c r="AB94" i="1"/>
  <c r="AB110" i="1"/>
  <c r="AB126" i="1"/>
  <c r="AB142" i="1"/>
  <c r="AB158" i="1"/>
  <c r="AB174" i="1"/>
  <c r="AB190" i="1"/>
  <c r="AB50" i="1"/>
  <c r="AB66" i="1"/>
  <c r="AB82" i="1"/>
  <c r="AB98" i="1"/>
  <c r="AB114" i="1"/>
  <c r="AB130" i="1"/>
  <c r="AB146" i="1"/>
  <c r="AB162" i="1"/>
  <c r="AB178" i="1"/>
  <c r="AB194" i="1"/>
  <c r="AB54" i="1"/>
  <c r="AB70" i="1"/>
  <c r="AB86" i="1"/>
  <c r="AB102" i="1"/>
  <c r="AB118" i="1"/>
  <c r="AB134" i="1"/>
  <c r="AB150" i="1"/>
  <c r="AB166" i="1"/>
  <c r="AB182" i="1"/>
  <c r="AB198" i="1"/>
  <c r="AB42" i="1"/>
  <c r="AB74" i="1"/>
  <c r="AB90" i="1"/>
  <c r="AB106" i="1"/>
  <c r="AB122" i="1"/>
  <c r="AB138" i="1"/>
  <c r="AB154" i="1"/>
  <c r="AB170" i="1"/>
  <c r="AB202" i="1"/>
  <c r="G8" i="1"/>
  <c r="G10" i="1"/>
  <c r="W2" i="1" s="1"/>
  <c r="T9" i="1"/>
  <c r="B17" i="1"/>
  <c r="B24" i="1" l="1"/>
  <c r="B19" i="1"/>
  <c r="G14" i="1"/>
  <c r="AC2" i="1"/>
  <c r="T1" i="1"/>
  <c r="G11" i="1"/>
  <c r="B20" i="1"/>
  <c r="AD5" i="1" l="1"/>
  <c r="AD9" i="1"/>
  <c r="AD13" i="1"/>
  <c r="AD17" i="1"/>
  <c r="AD21" i="1"/>
  <c r="AD25" i="1"/>
  <c r="AD29" i="1"/>
  <c r="AD33" i="1"/>
  <c r="AD37" i="1"/>
  <c r="AD41" i="1"/>
  <c r="AD45" i="1"/>
  <c r="AD49" i="1"/>
  <c r="AD53" i="1"/>
  <c r="AD57" i="1"/>
  <c r="AD61" i="1"/>
  <c r="AD65" i="1"/>
  <c r="AD69" i="1"/>
  <c r="AD73" i="1"/>
  <c r="AD77" i="1"/>
  <c r="AD81" i="1"/>
  <c r="AD85" i="1"/>
  <c r="AD89" i="1"/>
  <c r="AD93" i="1"/>
  <c r="AD97" i="1"/>
  <c r="AD101" i="1"/>
  <c r="AD105" i="1"/>
  <c r="AD109" i="1"/>
  <c r="AD113" i="1"/>
  <c r="AD6" i="1"/>
  <c r="AD10" i="1"/>
  <c r="AD14" i="1"/>
  <c r="AD18" i="1"/>
  <c r="AD22" i="1"/>
  <c r="AD26" i="1"/>
  <c r="AD30" i="1"/>
  <c r="AD34" i="1"/>
  <c r="AD38" i="1"/>
  <c r="AD42" i="1"/>
  <c r="AD46" i="1"/>
  <c r="AD50" i="1"/>
  <c r="AD54" i="1"/>
  <c r="AD58" i="1"/>
  <c r="AD62" i="1"/>
  <c r="AD66" i="1"/>
  <c r="W7" i="1"/>
  <c r="AD4" i="1"/>
  <c r="AD8" i="1"/>
  <c r="AD12" i="1"/>
  <c r="AD16" i="1"/>
  <c r="AD20" i="1"/>
  <c r="AD24" i="1"/>
  <c r="AD28" i="1"/>
  <c r="AD32" i="1"/>
  <c r="AD36" i="1"/>
  <c r="AD40" i="1"/>
  <c r="AD44" i="1"/>
  <c r="AD48" i="1"/>
  <c r="AD52" i="1"/>
  <c r="AD56" i="1"/>
  <c r="AD60" i="1"/>
  <c r="AD64" i="1"/>
  <c r="AD3" i="1"/>
  <c r="AD19" i="1"/>
  <c r="AD35" i="1"/>
  <c r="AD51" i="1"/>
  <c r="AD67" i="1"/>
  <c r="AD72" i="1"/>
  <c r="AD78" i="1"/>
  <c r="AD83" i="1"/>
  <c r="AD88" i="1"/>
  <c r="AD94" i="1"/>
  <c r="AD99" i="1"/>
  <c r="AD104" i="1"/>
  <c r="AD110" i="1"/>
  <c r="AD115" i="1"/>
  <c r="AD119" i="1"/>
  <c r="AD123" i="1"/>
  <c r="AD127" i="1"/>
  <c r="AD131" i="1"/>
  <c r="AD135" i="1"/>
  <c r="AD139" i="1"/>
  <c r="AD143" i="1"/>
  <c r="AD147" i="1"/>
  <c r="AD151" i="1"/>
  <c r="AD155" i="1"/>
  <c r="AD159" i="1"/>
  <c r="AD163" i="1"/>
  <c r="AD167" i="1"/>
  <c r="AD171" i="1"/>
  <c r="AD175" i="1"/>
  <c r="AD179" i="1"/>
  <c r="AD183" i="1"/>
  <c r="AD187" i="1"/>
  <c r="AD191" i="1"/>
  <c r="AD195" i="1"/>
  <c r="AD199" i="1"/>
  <c r="AD2" i="1"/>
  <c r="AD7" i="1"/>
  <c r="AD23" i="1"/>
  <c r="AD39" i="1"/>
  <c r="AD55" i="1"/>
  <c r="AD68" i="1"/>
  <c r="AD74" i="1"/>
  <c r="AD79" i="1"/>
  <c r="AD84" i="1"/>
  <c r="AD90" i="1"/>
  <c r="AD95" i="1"/>
  <c r="AD100" i="1"/>
  <c r="AD106" i="1"/>
  <c r="AD111" i="1"/>
  <c r="AD116" i="1"/>
  <c r="AD120" i="1"/>
  <c r="AD124" i="1"/>
  <c r="AD128" i="1"/>
  <c r="AD132" i="1"/>
  <c r="AD136" i="1"/>
  <c r="AD140" i="1"/>
  <c r="AD144" i="1"/>
  <c r="AD148" i="1"/>
  <c r="AD152" i="1"/>
  <c r="AD156" i="1"/>
  <c r="AD160" i="1"/>
  <c r="AD164" i="1"/>
  <c r="AD168" i="1"/>
  <c r="AD172" i="1"/>
  <c r="AD176" i="1"/>
  <c r="AD180" i="1"/>
  <c r="AD184" i="1"/>
  <c r="AD188" i="1"/>
  <c r="AD192" i="1"/>
  <c r="AD196" i="1"/>
  <c r="AD200" i="1"/>
  <c r="AD15" i="1"/>
  <c r="AD31" i="1"/>
  <c r="AD47" i="1"/>
  <c r="AD63" i="1"/>
  <c r="AD71" i="1"/>
  <c r="AD76" i="1"/>
  <c r="AD82" i="1"/>
  <c r="AD87" i="1"/>
  <c r="AD92" i="1"/>
  <c r="AD98" i="1"/>
  <c r="AD103" i="1"/>
  <c r="AD108" i="1"/>
  <c r="AD114" i="1"/>
  <c r="AD118" i="1"/>
  <c r="AD122" i="1"/>
  <c r="AD126" i="1"/>
  <c r="AD130" i="1"/>
  <c r="AD134" i="1"/>
  <c r="AD138" i="1"/>
  <c r="AD142" i="1"/>
  <c r="AD146" i="1"/>
  <c r="AD150" i="1"/>
  <c r="AD154" i="1"/>
  <c r="AD158" i="1"/>
  <c r="AD162" i="1"/>
  <c r="AD166" i="1"/>
  <c r="AD170" i="1"/>
  <c r="AD174" i="1"/>
  <c r="AD178" i="1"/>
  <c r="AD182" i="1"/>
  <c r="AD186" i="1"/>
  <c r="AD190" i="1"/>
  <c r="AD194" i="1"/>
  <c r="AD198" i="1"/>
  <c r="AD202" i="1"/>
  <c r="AD43" i="1"/>
  <c r="AD80" i="1"/>
  <c r="AD102" i="1"/>
  <c r="AD121" i="1"/>
  <c r="AD137" i="1"/>
  <c r="AD153" i="1"/>
  <c r="AD169" i="1"/>
  <c r="AD185" i="1"/>
  <c r="AD201" i="1"/>
  <c r="AD149" i="1"/>
  <c r="AD59" i="1"/>
  <c r="AD86" i="1"/>
  <c r="AD107" i="1"/>
  <c r="AD125" i="1"/>
  <c r="AD141" i="1"/>
  <c r="AD157" i="1"/>
  <c r="AD173" i="1"/>
  <c r="AD189" i="1"/>
  <c r="AD133" i="1"/>
  <c r="AD11" i="1"/>
  <c r="AD70" i="1"/>
  <c r="AD91" i="1"/>
  <c r="AD112" i="1"/>
  <c r="AD129" i="1"/>
  <c r="AD145" i="1"/>
  <c r="AD161" i="1"/>
  <c r="AD177" i="1"/>
  <c r="AD193" i="1"/>
  <c r="AD27" i="1"/>
  <c r="AD75" i="1"/>
  <c r="AD96" i="1"/>
  <c r="AD117" i="1"/>
  <c r="AD165" i="1"/>
  <c r="AD181" i="1"/>
  <c r="AD197" i="1"/>
  <c r="AE5" i="1"/>
  <c r="AE9" i="1"/>
  <c r="AE13" i="1"/>
  <c r="AE17" i="1"/>
  <c r="AE21" i="1"/>
  <c r="AE25" i="1"/>
  <c r="AE29" i="1"/>
  <c r="AE33" i="1"/>
  <c r="AE37" i="1"/>
  <c r="AE41" i="1"/>
  <c r="AE45" i="1"/>
  <c r="AE49" i="1"/>
  <c r="AE53" i="1"/>
  <c r="AE57" i="1"/>
  <c r="AE61" i="1"/>
  <c r="AE65" i="1"/>
  <c r="AE69" i="1"/>
  <c r="AE73" i="1"/>
  <c r="AE77" i="1"/>
  <c r="AE81" i="1"/>
  <c r="AE85" i="1"/>
  <c r="AE89" i="1"/>
  <c r="AE93" i="1"/>
  <c r="AE97" i="1"/>
  <c r="AE101" i="1"/>
  <c r="AE105" i="1"/>
  <c r="AE109" i="1"/>
  <c r="AE113" i="1"/>
  <c r="AE117" i="1"/>
  <c r="AE121" i="1"/>
  <c r="AE125" i="1"/>
  <c r="AE129" i="1"/>
  <c r="AE133" i="1"/>
  <c r="AE137" i="1"/>
  <c r="AE141" i="1"/>
  <c r="AE145" i="1"/>
  <c r="W3" i="1"/>
  <c r="AE3" i="1"/>
  <c r="AE8" i="1"/>
  <c r="AE14" i="1"/>
  <c r="AE19" i="1"/>
  <c r="AE24" i="1"/>
  <c r="AE30" i="1"/>
  <c r="AE35" i="1"/>
  <c r="AE40" i="1"/>
  <c r="AE46" i="1"/>
  <c r="AE51" i="1"/>
  <c r="AE56" i="1"/>
  <c r="AE62" i="1"/>
  <c r="AE67" i="1"/>
  <c r="AE72" i="1"/>
  <c r="AE78" i="1"/>
  <c r="AE83" i="1"/>
  <c r="AE88" i="1"/>
  <c r="AE94" i="1"/>
  <c r="AE99" i="1"/>
  <c r="AE104" i="1"/>
  <c r="AE110" i="1"/>
  <c r="AE115" i="1"/>
  <c r="AE120" i="1"/>
  <c r="AE126" i="1"/>
  <c r="AE131" i="1"/>
  <c r="AE136" i="1"/>
  <c r="AE142" i="1"/>
  <c r="AE147" i="1"/>
  <c r="AE151" i="1"/>
  <c r="AE155" i="1"/>
  <c r="AE159" i="1"/>
  <c r="AE163" i="1"/>
  <c r="AE167" i="1"/>
  <c r="AE171" i="1"/>
  <c r="AE175" i="1"/>
  <c r="AE179" i="1"/>
  <c r="AE183" i="1"/>
  <c r="AE187" i="1"/>
  <c r="AE191" i="1"/>
  <c r="AE195" i="1"/>
  <c r="AE199" i="1"/>
  <c r="AE2" i="1"/>
  <c r="AF2" i="1" s="1"/>
  <c r="AH2" i="1" s="1"/>
  <c r="AI2" i="1" s="1"/>
  <c r="AE4" i="1"/>
  <c r="AE10" i="1"/>
  <c r="AE15" i="1"/>
  <c r="AE20" i="1"/>
  <c r="AE26" i="1"/>
  <c r="AE31" i="1"/>
  <c r="AE36" i="1"/>
  <c r="AE42" i="1"/>
  <c r="AE47" i="1"/>
  <c r="AE52" i="1"/>
  <c r="AE58" i="1"/>
  <c r="AE63" i="1"/>
  <c r="AE68" i="1"/>
  <c r="AE74" i="1"/>
  <c r="AE79" i="1"/>
  <c r="AE84" i="1"/>
  <c r="AE90" i="1"/>
  <c r="AE95" i="1"/>
  <c r="AE100" i="1"/>
  <c r="AE106" i="1"/>
  <c r="AE111" i="1"/>
  <c r="AE116" i="1"/>
  <c r="AE122" i="1"/>
  <c r="AE127" i="1"/>
  <c r="AE132" i="1"/>
  <c r="AE138" i="1"/>
  <c r="AE143" i="1"/>
  <c r="AE148" i="1"/>
  <c r="AE152" i="1"/>
  <c r="AE156" i="1"/>
  <c r="AE160" i="1"/>
  <c r="AE164" i="1"/>
  <c r="AE168" i="1"/>
  <c r="AE172" i="1"/>
  <c r="AE176" i="1"/>
  <c r="AE180" i="1"/>
  <c r="AE184" i="1"/>
  <c r="AE188" i="1"/>
  <c r="AE192" i="1"/>
  <c r="AE196" i="1"/>
  <c r="AE200" i="1"/>
  <c r="AE7" i="1"/>
  <c r="AE12" i="1"/>
  <c r="AE18" i="1"/>
  <c r="AE23" i="1"/>
  <c r="AE28" i="1"/>
  <c r="AE34" i="1"/>
  <c r="AE39" i="1"/>
  <c r="AE44" i="1"/>
  <c r="AE50" i="1"/>
  <c r="AE55" i="1"/>
  <c r="AE60" i="1"/>
  <c r="AE66" i="1"/>
  <c r="AE71" i="1"/>
  <c r="AE76" i="1"/>
  <c r="AE82" i="1"/>
  <c r="AE87" i="1"/>
  <c r="AE92" i="1"/>
  <c r="AE98" i="1"/>
  <c r="AE103" i="1"/>
  <c r="AE108" i="1"/>
  <c r="AE114" i="1"/>
  <c r="AE119" i="1"/>
  <c r="AE124" i="1"/>
  <c r="AE130" i="1"/>
  <c r="AE135" i="1"/>
  <c r="AE140" i="1"/>
  <c r="AE146" i="1"/>
  <c r="AE150" i="1"/>
  <c r="AE154" i="1"/>
  <c r="AE158" i="1"/>
  <c r="AE162" i="1"/>
  <c r="AE166" i="1"/>
  <c r="AE170" i="1"/>
  <c r="AF170" i="1" s="1"/>
  <c r="AE174" i="1"/>
  <c r="AE178" i="1"/>
  <c r="AE182" i="1"/>
  <c r="AE186" i="1"/>
  <c r="AE190" i="1"/>
  <c r="AE194" i="1"/>
  <c r="AE198" i="1"/>
  <c r="AE202" i="1"/>
  <c r="AE16" i="1"/>
  <c r="AE38" i="1"/>
  <c r="AE59" i="1"/>
  <c r="AE80" i="1"/>
  <c r="AE102" i="1"/>
  <c r="AE123" i="1"/>
  <c r="AE144" i="1"/>
  <c r="AE161" i="1"/>
  <c r="AE177" i="1"/>
  <c r="AE193" i="1"/>
  <c r="AE22" i="1"/>
  <c r="AE43" i="1"/>
  <c r="AE64" i="1"/>
  <c r="AE86" i="1"/>
  <c r="AE107" i="1"/>
  <c r="AE128" i="1"/>
  <c r="AE149" i="1"/>
  <c r="AE165" i="1"/>
  <c r="AE181" i="1"/>
  <c r="AE197" i="1"/>
  <c r="AE11" i="1"/>
  <c r="AE32" i="1"/>
  <c r="AE54" i="1"/>
  <c r="AE75" i="1"/>
  <c r="AE96" i="1"/>
  <c r="AE118" i="1"/>
  <c r="AE139" i="1"/>
  <c r="AE157" i="1"/>
  <c r="AF157" i="1" s="1"/>
  <c r="AG157" i="1" s="1"/>
  <c r="AJ157" i="1" s="1"/>
  <c r="AE173" i="1"/>
  <c r="AE189" i="1"/>
  <c r="AE48" i="1"/>
  <c r="AE134" i="1"/>
  <c r="AE201" i="1"/>
  <c r="AE70" i="1"/>
  <c r="AE153" i="1"/>
  <c r="AE6" i="1"/>
  <c r="AE91" i="1"/>
  <c r="AE169" i="1"/>
  <c r="AE27" i="1"/>
  <c r="AE112" i="1"/>
  <c r="AE185" i="1"/>
  <c r="T2" i="1"/>
  <c r="T6" i="1"/>
  <c r="AF43" i="1" l="1"/>
  <c r="AH43" i="1" s="1"/>
  <c r="AI43" i="1" s="1"/>
  <c r="AF28" i="1"/>
  <c r="AH28" i="1" s="1"/>
  <c r="AI28" i="1" s="1"/>
  <c r="AF50" i="1"/>
  <c r="AG50" i="1" s="1"/>
  <c r="AJ50" i="1" s="1"/>
  <c r="AF5" i="1"/>
  <c r="AG5" i="1" s="1"/>
  <c r="AJ5" i="1" s="1"/>
  <c r="AF197" i="1"/>
  <c r="AH197" i="1" s="1"/>
  <c r="AI197" i="1" s="1"/>
  <c r="AF133" i="1"/>
  <c r="AG133" i="1" s="1"/>
  <c r="AJ133" i="1" s="1"/>
  <c r="AF31" i="1"/>
  <c r="AG31" i="1" s="1"/>
  <c r="AJ31" i="1" s="1"/>
  <c r="AH157" i="1"/>
  <c r="AI157" i="1" s="1"/>
  <c r="AF103" i="1"/>
  <c r="AG103" i="1" s="1"/>
  <c r="AJ103" i="1" s="1"/>
  <c r="AF94" i="1"/>
  <c r="AG94" i="1" s="1"/>
  <c r="AJ94" i="1" s="1"/>
  <c r="AF93" i="1"/>
  <c r="AH93" i="1" s="1"/>
  <c r="AI93" i="1" s="1"/>
  <c r="AF27" i="1"/>
  <c r="AG27" i="1" s="1"/>
  <c r="AJ27" i="1" s="1"/>
  <c r="AF87" i="1"/>
  <c r="AG87" i="1" s="1"/>
  <c r="AJ87" i="1" s="1"/>
  <c r="AF200" i="1"/>
  <c r="AG200" i="1" s="1"/>
  <c r="AJ200" i="1" s="1"/>
  <c r="AF184" i="1"/>
  <c r="AF120" i="1"/>
  <c r="AF100" i="1"/>
  <c r="AG100" i="1" s="1"/>
  <c r="AJ100" i="1" s="1"/>
  <c r="AF151" i="1"/>
  <c r="AG151" i="1" s="1"/>
  <c r="AJ151" i="1" s="1"/>
  <c r="AF99" i="1"/>
  <c r="AH99" i="1" s="1"/>
  <c r="AI99" i="1" s="1"/>
  <c r="AF44" i="1"/>
  <c r="AG44" i="1" s="1"/>
  <c r="AJ44" i="1" s="1"/>
  <c r="AF97" i="1"/>
  <c r="AH97" i="1" s="1"/>
  <c r="AI97" i="1" s="1"/>
  <c r="AF81" i="1"/>
  <c r="AG81" i="1" s="1"/>
  <c r="AJ81" i="1" s="1"/>
  <c r="AF33" i="1"/>
  <c r="AF17" i="1"/>
  <c r="AG17" i="1" s="1"/>
  <c r="AJ17" i="1" s="1"/>
  <c r="AF132" i="1"/>
  <c r="AH132" i="1" s="1"/>
  <c r="AI132" i="1" s="1"/>
  <c r="AF182" i="1"/>
  <c r="AH182" i="1" s="1"/>
  <c r="AI182" i="1" s="1"/>
  <c r="AF166" i="1"/>
  <c r="AH166" i="1" s="1"/>
  <c r="AI166" i="1" s="1"/>
  <c r="AF176" i="1"/>
  <c r="AG176" i="1" s="1"/>
  <c r="AJ176" i="1" s="1"/>
  <c r="AF68" i="1"/>
  <c r="AG68" i="1" s="1"/>
  <c r="AJ68" i="1" s="1"/>
  <c r="AF159" i="1"/>
  <c r="AH159" i="1" s="1"/>
  <c r="AI159" i="1" s="1"/>
  <c r="AF110" i="1"/>
  <c r="AH110" i="1" s="1"/>
  <c r="AI110" i="1" s="1"/>
  <c r="AF3" i="1"/>
  <c r="AF105" i="1"/>
  <c r="AG105" i="1" s="1"/>
  <c r="AJ105" i="1" s="1"/>
  <c r="AF89" i="1"/>
  <c r="AG89" i="1" s="1"/>
  <c r="AJ89" i="1" s="1"/>
  <c r="AF41" i="1"/>
  <c r="AG41" i="1" s="1"/>
  <c r="AJ41" i="1" s="1"/>
  <c r="AF25" i="1"/>
  <c r="AG25" i="1" s="1"/>
  <c r="AJ25" i="1" s="1"/>
  <c r="AF71" i="1"/>
  <c r="AH71" i="1" s="1"/>
  <c r="AI71" i="1" s="1"/>
  <c r="AH170" i="1"/>
  <c r="AI170" i="1" s="1"/>
  <c r="AG170" i="1"/>
  <c r="AJ170" i="1" s="1"/>
  <c r="AF165" i="1"/>
  <c r="AG165" i="1" s="1"/>
  <c r="AJ165" i="1" s="1"/>
  <c r="AF186" i="1"/>
  <c r="AF196" i="1"/>
  <c r="AF179" i="1"/>
  <c r="AF77" i="1"/>
  <c r="AF60" i="1"/>
  <c r="AG60" i="1" s="1"/>
  <c r="AJ60" i="1" s="1"/>
  <c r="AF18" i="1"/>
  <c r="AF112" i="1"/>
  <c r="AG112" i="1" s="1"/>
  <c r="AJ112" i="1" s="1"/>
  <c r="AF141" i="1"/>
  <c r="AF169" i="1"/>
  <c r="AG169" i="1" s="1"/>
  <c r="AJ169" i="1" s="1"/>
  <c r="AF118" i="1"/>
  <c r="AF52" i="1"/>
  <c r="AF42" i="1"/>
  <c r="AF10" i="1"/>
  <c r="AF119" i="1"/>
  <c r="AG119" i="1" s="1"/>
  <c r="AJ119" i="1" s="1"/>
  <c r="AF34" i="1"/>
  <c r="AH34" i="1" s="1"/>
  <c r="AI34" i="1" s="1"/>
  <c r="AF12" i="1"/>
  <c r="AH12" i="1" s="1"/>
  <c r="AI12" i="1" s="1"/>
  <c r="AF58" i="1"/>
  <c r="AH58" i="1" s="1"/>
  <c r="AI58" i="1" s="1"/>
  <c r="AF9" i="1"/>
  <c r="AG9" i="1" s="1"/>
  <c r="AJ9" i="1" s="1"/>
  <c r="AF75" i="1"/>
  <c r="AF161" i="1"/>
  <c r="AF91" i="1"/>
  <c r="AH91" i="1" s="1"/>
  <c r="AI91" i="1" s="1"/>
  <c r="AF189" i="1"/>
  <c r="AF125" i="1"/>
  <c r="AF149" i="1"/>
  <c r="AG149" i="1" s="1"/>
  <c r="AJ149" i="1" s="1"/>
  <c r="AF80" i="1"/>
  <c r="AG80" i="1" s="1"/>
  <c r="AJ80" i="1" s="1"/>
  <c r="AF194" i="1"/>
  <c r="AF178" i="1"/>
  <c r="AF162" i="1"/>
  <c r="AF146" i="1"/>
  <c r="AF114" i="1"/>
  <c r="AF92" i="1"/>
  <c r="AF188" i="1"/>
  <c r="AF172" i="1"/>
  <c r="AF156" i="1"/>
  <c r="AF124" i="1"/>
  <c r="AF106" i="1"/>
  <c r="AF84" i="1"/>
  <c r="AF187" i="1"/>
  <c r="AF171" i="1"/>
  <c r="AF155" i="1"/>
  <c r="AF123" i="1"/>
  <c r="AF104" i="1"/>
  <c r="AF83" i="1"/>
  <c r="AF51" i="1"/>
  <c r="AG51" i="1" s="1"/>
  <c r="AJ51" i="1" s="1"/>
  <c r="AF64" i="1"/>
  <c r="AH64" i="1" s="1"/>
  <c r="AI64" i="1" s="1"/>
  <c r="AF32" i="1"/>
  <c r="AF54" i="1"/>
  <c r="AH54" i="1" s="1"/>
  <c r="AI54" i="1" s="1"/>
  <c r="AF38" i="1"/>
  <c r="AG38" i="1" s="1"/>
  <c r="AJ38" i="1" s="1"/>
  <c r="AF6" i="1"/>
  <c r="AF101" i="1"/>
  <c r="AF85" i="1"/>
  <c r="AF69" i="1"/>
  <c r="AF53" i="1"/>
  <c r="AF37" i="1"/>
  <c r="AF21" i="1"/>
  <c r="AF107" i="1"/>
  <c r="AG107" i="1" s="1"/>
  <c r="AJ107" i="1" s="1"/>
  <c r="AF144" i="1"/>
  <c r="AH144" i="1" s="1"/>
  <c r="AI144" i="1" s="1"/>
  <c r="AF111" i="1"/>
  <c r="AH111" i="1" s="1"/>
  <c r="AI111" i="1" s="1"/>
  <c r="AF191" i="1"/>
  <c r="AH191" i="1" s="1"/>
  <c r="AI191" i="1" s="1"/>
  <c r="AF35" i="1"/>
  <c r="AG35" i="1" s="1"/>
  <c r="AJ35" i="1" s="1"/>
  <c r="AF117" i="1"/>
  <c r="AF193" i="1"/>
  <c r="AF86" i="1"/>
  <c r="AF185" i="1"/>
  <c r="AH185" i="1" s="1"/>
  <c r="AI185" i="1" s="1"/>
  <c r="AF202" i="1"/>
  <c r="AF154" i="1"/>
  <c r="AF138" i="1"/>
  <c r="AF82" i="1"/>
  <c r="AF180" i="1"/>
  <c r="AF164" i="1"/>
  <c r="AF148" i="1"/>
  <c r="AF116" i="1"/>
  <c r="AF95" i="1"/>
  <c r="AG95" i="1" s="1"/>
  <c r="AJ95" i="1" s="1"/>
  <c r="AF74" i="1"/>
  <c r="AF195" i="1"/>
  <c r="AF163" i="1"/>
  <c r="AF147" i="1"/>
  <c r="AF115" i="1"/>
  <c r="AF72" i="1"/>
  <c r="AF19" i="1"/>
  <c r="AF40" i="1"/>
  <c r="AF8" i="1"/>
  <c r="AF62" i="1"/>
  <c r="AF30" i="1"/>
  <c r="AF109" i="1"/>
  <c r="AG109" i="1" s="1"/>
  <c r="AJ109" i="1" s="1"/>
  <c r="AF61" i="1"/>
  <c r="AF45" i="1"/>
  <c r="AF29" i="1"/>
  <c r="AF13" i="1"/>
  <c r="AH103" i="1"/>
  <c r="AI103" i="1" s="1"/>
  <c r="AF96" i="1"/>
  <c r="AF102" i="1"/>
  <c r="AF181" i="1"/>
  <c r="AF153" i="1"/>
  <c r="AF130" i="1"/>
  <c r="AF15" i="1"/>
  <c r="AF140" i="1"/>
  <c r="AF55" i="1"/>
  <c r="AF139" i="1"/>
  <c r="AF48" i="1"/>
  <c r="AF16" i="1"/>
  <c r="AF22" i="1"/>
  <c r="AG197" i="1"/>
  <c r="AJ197" i="1" s="1"/>
  <c r="AF173" i="1"/>
  <c r="AF174" i="1"/>
  <c r="AF158" i="1"/>
  <c r="AG43" i="1"/>
  <c r="AJ43" i="1" s="1"/>
  <c r="AF129" i="1"/>
  <c r="AF11" i="1"/>
  <c r="AF121" i="1"/>
  <c r="AF122" i="1"/>
  <c r="AF47" i="1"/>
  <c r="AF23" i="1"/>
  <c r="AF131" i="1"/>
  <c r="AF56" i="1"/>
  <c r="AF24" i="1"/>
  <c r="AF46" i="1"/>
  <c r="AF14" i="1"/>
  <c r="AF177" i="1"/>
  <c r="AF59" i="1"/>
  <c r="AF198" i="1"/>
  <c r="AF150" i="1"/>
  <c r="AF134" i="1"/>
  <c r="AF98" i="1"/>
  <c r="AF76" i="1"/>
  <c r="AF192" i="1"/>
  <c r="AF160" i="1"/>
  <c r="AF128" i="1"/>
  <c r="AF90" i="1"/>
  <c r="AF7" i="1"/>
  <c r="AF175" i="1"/>
  <c r="AF143" i="1"/>
  <c r="AF127" i="1"/>
  <c r="AF88" i="1"/>
  <c r="AF67" i="1"/>
  <c r="AF36" i="1"/>
  <c r="AF20" i="1"/>
  <c r="AF4" i="1"/>
  <c r="AF26" i="1"/>
  <c r="AF73" i="1"/>
  <c r="AF57" i="1"/>
  <c r="AF145" i="1"/>
  <c r="AF70" i="1"/>
  <c r="AF201" i="1"/>
  <c r="AF137" i="1"/>
  <c r="AF190" i="1"/>
  <c r="AF142" i="1"/>
  <c r="AF126" i="1"/>
  <c r="AF108" i="1"/>
  <c r="AF63" i="1"/>
  <c r="AF168" i="1"/>
  <c r="AF152" i="1"/>
  <c r="AF136" i="1"/>
  <c r="AF79" i="1"/>
  <c r="AF39" i="1"/>
  <c r="AF199" i="1"/>
  <c r="AF183" i="1"/>
  <c r="AF167" i="1"/>
  <c r="AF135" i="1"/>
  <c r="AF78" i="1"/>
  <c r="AF66" i="1"/>
  <c r="AF113" i="1"/>
  <c r="AF65" i="1"/>
  <c r="AF49" i="1"/>
  <c r="AG2" i="1"/>
  <c r="AJ2" i="1" s="1"/>
  <c r="AG28" i="1" l="1"/>
  <c r="AJ28" i="1" s="1"/>
  <c r="AH5" i="1"/>
  <c r="AI5" i="1" s="1"/>
  <c r="AH50" i="1"/>
  <c r="AI50" i="1" s="1"/>
  <c r="AH149" i="1"/>
  <c r="AI149" i="1" s="1"/>
  <c r="AG97" i="1"/>
  <c r="AJ97" i="1" s="1"/>
  <c r="AH133" i="1"/>
  <c r="AI133" i="1" s="1"/>
  <c r="AH89" i="1"/>
  <c r="AI89" i="1" s="1"/>
  <c r="AG185" i="1"/>
  <c r="AJ185" i="1" s="1"/>
  <c r="AH68" i="1"/>
  <c r="AI68" i="1" s="1"/>
  <c r="AG71" i="1"/>
  <c r="AJ71" i="1" s="1"/>
  <c r="AH107" i="1"/>
  <c r="AI107" i="1" s="1"/>
  <c r="AH27" i="1"/>
  <c r="AI27" i="1" s="1"/>
  <c r="AH17" i="1"/>
  <c r="AI17" i="1" s="1"/>
  <c r="AH25" i="1"/>
  <c r="AI25" i="1" s="1"/>
  <c r="AH60" i="1"/>
  <c r="AI60" i="1" s="1"/>
  <c r="AH44" i="1"/>
  <c r="AI44" i="1" s="1"/>
  <c r="AH94" i="1"/>
  <c r="AI94" i="1" s="1"/>
  <c r="AG34" i="1"/>
  <c r="AJ34" i="1" s="1"/>
  <c r="AH80" i="1"/>
  <c r="AI80" i="1" s="1"/>
  <c r="AH200" i="1"/>
  <c r="AI200" i="1" s="1"/>
  <c r="AG54" i="1"/>
  <c r="AJ54" i="1" s="1"/>
  <c r="AH81" i="1"/>
  <c r="AI81" i="1" s="1"/>
  <c r="AG191" i="1"/>
  <c r="AJ191" i="1" s="1"/>
  <c r="AH151" i="1"/>
  <c r="AI151" i="1" s="1"/>
  <c r="AH31" i="1"/>
  <c r="AI31" i="1" s="1"/>
  <c r="AG182" i="1"/>
  <c r="AJ182" i="1" s="1"/>
  <c r="AG93" i="1"/>
  <c r="AJ93" i="1" s="1"/>
  <c r="AG159" i="1"/>
  <c r="AJ159" i="1" s="1"/>
  <c r="AH100" i="1"/>
  <c r="AI100" i="1" s="1"/>
  <c r="AH38" i="1"/>
  <c r="AI38" i="1" s="1"/>
  <c r="AG12" i="1"/>
  <c r="AJ12" i="1" s="1"/>
  <c r="AH105" i="1"/>
  <c r="AI105" i="1" s="1"/>
  <c r="AG110" i="1"/>
  <c r="AJ110" i="1" s="1"/>
  <c r="AG99" i="1"/>
  <c r="AJ99" i="1" s="1"/>
  <c r="AH35" i="1"/>
  <c r="AI35" i="1" s="1"/>
  <c r="AH51" i="1"/>
  <c r="AI51" i="1" s="1"/>
  <c r="AG132" i="1"/>
  <c r="AJ132" i="1" s="1"/>
  <c r="AG33" i="1"/>
  <c r="AJ33" i="1" s="1"/>
  <c r="AH33" i="1"/>
  <c r="AI33" i="1" s="1"/>
  <c r="AH184" i="1"/>
  <c r="AI184" i="1" s="1"/>
  <c r="AG184" i="1"/>
  <c r="AJ184" i="1" s="1"/>
  <c r="AH41" i="1"/>
  <c r="AI41" i="1" s="1"/>
  <c r="AG64" i="1"/>
  <c r="AJ64" i="1" s="1"/>
  <c r="AH169" i="1"/>
  <c r="AI169" i="1" s="1"/>
  <c r="AH176" i="1"/>
  <c r="AI176" i="1" s="1"/>
  <c r="AG58" i="1"/>
  <c r="AJ58" i="1" s="1"/>
  <c r="AH87" i="1"/>
  <c r="AI87" i="1" s="1"/>
  <c r="AG166" i="1"/>
  <c r="AJ166" i="1" s="1"/>
  <c r="AG3" i="1"/>
  <c r="AJ3" i="1" s="1"/>
  <c r="AH3" i="1"/>
  <c r="AI3" i="1" s="1"/>
  <c r="AG120" i="1"/>
  <c r="AJ120" i="1" s="1"/>
  <c r="AH120" i="1"/>
  <c r="AI120" i="1" s="1"/>
  <c r="AH95" i="1"/>
  <c r="AI95" i="1" s="1"/>
  <c r="AG91" i="1"/>
  <c r="AJ91" i="1" s="1"/>
  <c r="AH109" i="1"/>
  <c r="AI109" i="1" s="1"/>
  <c r="AG144" i="1"/>
  <c r="AJ144" i="1" s="1"/>
  <c r="AH61" i="1"/>
  <c r="AI61" i="1" s="1"/>
  <c r="AG61" i="1"/>
  <c r="AJ61" i="1" s="1"/>
  <c r="AH115" i="1"/>
  <c r="AI115" i="1" s="1"/>
  <c r="AG115" i="1"/>
  <c r="AJ115" i="1" s="1"/>
  <c r="AG164" i="1"/>
  <c r="AJ164" i="1" s="1"/>
  <c r="AH164" i="1"/>
  <c r="AI164" i="1" s="1"/>
  <c r="AH193" i="1"/>
  <c r="AI193" i="1" s="1"/>
  <c r="AG193" i="1"/>
  <c r="AJ193" i="1" s="1"/>
  <c r="AH37" i="1"/>
  <c r="AI37" i="1" s="1"/>
  <c r="AG37" i="1"/>
  <c r="AJ37" i="1" s="1"/>
  <c r="AH32" i="1"/>
  <c r="AI32" i="1" s="1"/>
  <c r="AG32" i="1"/>
  <c r="AJ32" i="1" s="1"/>
  <c r="AG187" i="1"/>
  <c r="AJ187" i="1" s="1"/>
  <c r="AH187" i="1"/>
  <c r="AI187" i="1" s="1"/>
  <c r="AG114" i="1"/>
  <c r="AJ114" i="1" s="1"/>
  <c r="AH114" i="1"/>
  <c r="AI114" i="1" s="1"/>
  <c r="AH189" i="1"/>
  <c r="AI189" i="1" s="1"/>
  <c r="AG189" i="1"/>
  <c r="AJ189" i="1" s="1"/>
  <c r="AG141" i="1"/>
  <c r="AJ141" i="1" s="1"/>
  <c r="AH141" i="1"/>
  <c r="AI141" i="1" s="1"/>
  <c r="AG179" i="1"/>
  <c r="AJ179" i="1" s="1"/>
  <c r="AH179" i="1"/>
  <c r="AI179" i="1" s="1"/>
  <c r="AG111" i="1"/>
  <c r="AJ111" i="1" s="1"/>
  <c r="AH9" i="1"/>
  <c r="AI9" i="1" s="1"/>
  <c r="AH147" i="1"/>
  <c r="AI147" i="1" s="1"/>
  <c r="AG147" i="1"/>
  <c r="AJ147" i="1" s="1"/>
  <c r="AG180" i="1"/>
  <c r="AJ180" i="1" s="1"/>
  <c r="AH180" i="1"/>
  <c r="AI180" i="1" s="1"/>
  <c r="AG117" i="1"/>
  <c r="AJ117" i="1" s="1"/>
  <c r="AH117" i="1"/>
  <c r="AI117" i="1" s="1"/>
  <c r="AH6" i="1"/>
  <c r="AI6" i="1" s="1"/>
  <c r="AG6" i="1"/>
  <c r="AJ6" i="1" s="1"/>
  <c r="AH123" i="1"/>
  <c r="AI123" i="1" s="1"/>
  <c r="AG123" i="1"/>
  <c r="AJ123" i="1" s="1"/>
  <c r="AG172" i="1"/>
  <c r="AJ172" i="1" s="1"/>
  <c r="AH172" i="1"/>
  <c r="AI172" i="1" s="1"/>
  <c r="AH18" i="1"/>
  <c r="AI18" i="1" s="1"/>
  <c r="AG18" i="1"/>
  <c r="AJ18" i="1" s="1"/>
  <c r="AH119" i="1"/>
  <c r="AI119" i="1" s="1"/>
  <c r="AH112" i="1"/>
  <c r="AI112" i="1" s="1"/>
  <c r="AG29" i="1"/>
  <c r="AJ29" i="1" s="1"/>
  <c r="AH29" i="1"/>
  <c r="AI29" i="1" s="1"/>
  <c r="AH30" i="1"/>
  <c r="AI30" i="1" s="1"/>
  <c r="AG30" i="1"/>
  <c r="AJ30" i="1" s="1"/>
  <c r="AH19" i="1"/>
  <c r="AI19" i="1" s="1"/>
  <c r="AG19" i="1"/>
  <c r="AJ19" i="1" s="1"/>
  <c r="AG163" i="1"/>
  <c r="AJ163" i="1" s="1"/>
  <c r="AH163" i="1"/>
  <c r="AI163" i="1" s="1"/>
  <c r="AG116" i="1"/>
  <c r="AJ116" i="1" s="1"/>
  <c r="AH116" i="1"/>
  <c r="AI116" i="1" s="1"/>
  <c r="AG82" i="1"/>
  <c r="AJ82" i="1" s="1"/>
  <c r="AH82" i="1"/>
  <c r="AI82" i="1" s="1"/>
  <c r="AH69" i="1"/>
  <c r="AI69" i="1" s="1"/>
  <c r="AG69" i="1"/>
  <c r="AJ69" i="1" s="1"/>
  <c r="AG155" i="1"/>
  <c r="AJ155" i="1" s="1"/>
  <c r="AH155" i="1"/>
  <c r="AI155" i="1" s="1"/>
  <c r="AH106" i="1"/>
  <c r="AI106" i="1" s="1"/>
  <c r="AG106" i="1"/>
  <c r="AJ106" i="1" s="1"/>
  <c r="AG188" i="1"/>
  <c r="AJ188" i="1" s="1"/>
  <c r="AH188" i="1"/>
  <c r="AI188" i="1" s="1"/>
  <c r="AH162" i="1"/>
  <c r="AI162" i="1" s="1"/>
  <c r="AG162" i="1"/>
  <c r="AJ162" i="1" s="1"/>
  <c r="AG161" i="1"/>
  <c r="AJ161" i="1" s="1"/>
  <c r="AH161" i="1"/>
  <c r="AI161" i="1" s="1"/>
  <c r="AG118" i="1"/>
  <c r="AJ118" i="1" s="1"/>
  <c r="AH118" i="1"/>
  <c r="AI118" i="1" s="1"/>
  <c r="AH8" i="1"/>
  <c r="AI8" i="1" s="1"/>
  <c r="AG8" i="1"/>
  <c r="AJ8" i="1" s="1"/>
  <c r="AH74" i="1"/>
  <c r="AI74" i="1" s="1"/>
  <c r="AG74" i="1"/>
  <c r="AJ74" i="1" s="1"/>
  <c r="AH154" i="1"/>
  <c r="AI154" i="1" s="1"/>
  <c r="AG154" i="1"/>
  <c r="AJ154" i="1" s="1"/>
  <c r="AG101" i="1"/>
  <c r="AJ101" i="1" s="1"/>
  <c r="AH101" i="1"/>
  <c r="AI101" i="1" s="1"/>
  <c r="AH104" i="1"/>
  <c r="AI104" i="1" s="1"/>
  <c r="AG104" i="1"/>
  <c r="AJ104" i="1" s="1"/>
  <c r="AG156" i="1"/>
  <c r="AJ156" i="1" s="1"/>
  <c r="AH156" i="1"/>
  <c r="AI156" i="1" s="1"/>
  <c r="AG194" i="1"/>
  <c r="AJ194" i="1" s="1"/>
  <c r="AH194" i="1"/>
  <c r="AI194" i="1" s="1"/>
  <c r="AG42" i="1"/>
  <c r="AJ42" i="1" s="1"/>
  <c r="AH42" i="1"/>
  <c r="AI42" i="1" s="1"/>
  <c r="AH186" i="1"/>
  <c r="AI186" i="1" s="1"/>
  <c r="AG186" i="1"/>
  <c r="AJ186" i="1" s="1"/>
  <c r="AH13" i="1"/>
  <c r="AI13" i="1" s="1"/>
  <c r="AG13" i="1"/>
  <c r="AJ13" i="1" s="1"/>
  <c r="AG40" i="1"/>
  <c r="AJ40" i="1" s="1"/>
  <c r="AH40" i="1"/>
  <c r="AI40" i="1" s="1"/>
  <c r="AG202" i="1"/>
  <c r="AJ202" i="1" s="1"/>
  <c r="AH202" i="1"/>
  <c r="AI202" i="1" s="1"/>
  <c r="AG53" i="1"/>
  <c r="AJ53" i="1" s="1"/>
  <c r="AH53" i="1"/>
  <c r="AI53" i="1" s="1"/>
  <c r="AH84" i="1"/>
  <c r="AI84" i="1" s="1"/>
  <c r="AG84" i="1"/>
  <c r="AJ84" i="1" s="1"/>
  <c r="AG146" i="1"/>
  <c r="AJ146" i="1" s="1"/>
  <c r="AH146" i="1"/>
  <c r="AI146" i="1" s="1"/>
  <c r="AH52" i="1"/>
  <c r="AI52" i="1" s="1"/>
  <c r="AG52" i="1"/>
  <c r="AJ52" i="1" s="1"/>
  <c r="AH165" i="1"/>
  <c r="AI165" i="1" s="1"/>
  <c r="AH45" i="1"/>
  <c r="AI45" i="1" s="1"/>
  <c r="AG45" i="1"/>
  <c r="AJ45" i="1" s="1"/>
  <c r="AH62" i="1"/>
  <c r="AI62" i="1" s="1"/>
  <c r="AG62" i="1"/>
  <c r="AJ62" i="1" s="1"/>
  <c r="AH72" i="1"/>
  <c r="AI72" i="1" s="1"/>
  <c r="AG72" i="1"/>
  <c r="AJ72" i="1" s="1"/>
  <c r="AH195" i="1"/>
  <c r="AI195" i="1" s="1"/>
  <c r="AG195" i="1"/>
  <c r="AJ195" i="1" s="1"/>
  <c r="AH148" i="1"/>
  <c r="AI148" i="1" s="1"/>
  <c r="AG148" i="1"/>
  <c r="AJ148" i="1" s="1"/>
  <c r="AH138" i="1"/>
  <c r="AI138" i="1" s="1"/>
  <c r="AG138" i="1"/>
  <c r="AJ138" i="1" s="1"/>
  <c r="AH86" i="1"/>
  <c r="AI86" i="1" s="1"/>
  <c r="AG86" i="1"/>
  <c r="AJ86" i="1" s="1"/>
  <c r="AH21" i="1"/>
  <c r="AI21" i="1" s="1"/>
  <c r="AG21" i="1"/>
  <c r="AJ21" i="1" s="1"/>
  <c r="AH85" i="1"/>
  <c r="AI85" i="1" s="1"/>
  <c r="AG85" i="1"/>
  <c r="AJ85" i="1" s="1"/>
  <c r="AH83" i="1"/>
  <c r="AI83" i="1" s="1"/>
  <c r="AG83" i="1"/>
  <c r="AJ83" i="1" s="1"/>
  <c r="AG171" i="1"/>
  <c r="AJ171" i="1" s="1"/>
  <c r="AH171" i="1"/>
  <c r="AI171" i="1" s="1"/>
  <c r="AG124" i="1"/>
  <c r="AJ124" i="1" s="1"/>
  <c r="AH124" i="1"/>
  <c r="AI124" i="1" s="1"/>
  <c r="AH92" i="1"/>
  <c r="AI92" i="1" s="1"/>
  <c r="AG92" i="1"/>
  <c r="AJ92" i="1" s="1"/>
  <c r="AG178" i="1"/>
  <c r="AJ178" i="1" s="1"/>
  <c r="AH178" i="1"/>
  <c r="AI178" i="1" s="1"/>
  <c r="AH125" i="1"/>
  <c r="AI125" i="1" s="1"/>
  <c r="AG125" i="1"/>
  <c r="AJ125" i="1" s="1"/>
  <c r="AG75" i="1"/>
  <c r="AJ75" i="1" s="1"/>
  <c r="AH75" i="1"/>
  <c r="AI75" i="1" s="1"/>
  <c r="AG10" i="1"/>
  <c r="AJ10" i="1" s="1"/>
  <c r="AH10" i="1"/>
  <c r="AI10" i="1" s="1"/>
  <c r="AG77" i="1"/>
  <c r="AJ77" i="1" s="1"/>
  <c r="AH77" i="1"/>
  <c r="AI77" i="1" s="1"/>
  <c r="AG196" i="1"/>
  <c r="AJ196" i="1" s="1"/>
  <c r="AH196" i="1"/>
  <c r="AI196" i="1" s="1"/>
  <c r="AH49" i="1"/>
  <c r="AI49" i="1" s="1"/>
  <c r="AG49" i="1"/>
  <c r="AJ49" i="1" s="1"/>
  <c r="AH199" i="1"/>
  <c r="AI199" i="1" s="1"/>
  <c r="AG199" i="1"/>
  <c r="AJ199" i="1" s="1"/>
  <c r="AG126" i="1"/>
  <c r="AJ126" i="1" s="1"/>
  <c r="AH126" i="1"/>
  <c r="AI126" i="1" s="1"/>
  <c r="AH73" i="1"/>
  <c r="AI73" i="1" s="1"/>
  <c r="AG73" i="1"/>
  <c r="AJ73" i="1" s="1"/>
  <c r="AG143" i="1"/>
  <c r="AJ143" i="1" s="1"/>
  <c r="AH143" i="1"/>
  <c r="AI143" i="1" s="1"/>
  <c r="AG98" i="1"/>
  <c r="AJ98" i="1" s="1"/>
  <c r="AH98" i="1"/>
  <c r="AI98" i="1" s="1"/>
  <c r="AG113" i="1"/>
  <c r="AJ113" i="1" s="1"/>
  <c r="AH113" i="1"/>
  <c r="AI113" i="1" s="1"/>
  <c r="AG167" i="1"/>
  <c r="AJ167" i="1" s="1"/>
  <c r="AH167" i="1"/>
  <c r="AI167" i="1" s="1"/>
  <c r="AG79" i="1"/>
  <c r="AJ79" i="1" s="1"/>
  <c r="AH79" i="1"/>
  <c r="AI79" i="1" s="1"/>
  <c r="AH63" i="1"/>
  <c r="AI63" i="1" s="1"/>
  <c r="AG63" i="1"/>
  <c r="AJ63" i="1" s="1"/>
  <c r="AH190" i="1"/>
  <c r="AI190" i="1" s="1"/>
  <c r="AG190" i="1"/>
  <c r="AJ190" i="1" s="1"/>
  <c r="AG145" i="1"/>
  <c r="AJ145" i="1" s="1"/>
  <c r="AH145" i="1"/>
  <c r="AI145" i="1" s="1"/>
  <c r="AG4" i="1"/>
  <c r="AJ4" i="1" s="1"/>
  <c r="AH4" i="1"/>
  <c r="AI4" i="1" s="1"/>
  <c r="AH88" i="1"/>
  <c r="AI88" i="1" s="1"/>
  <c r="AG88" i="1"/>
  <c r="AJ88" i="1" s="1"/>
  <c r="AG7" i="1"/>
  <c r="AJ7" i="1" s="1"/>
  <c r="AH7" i="1"/>
  <c r="AI7" i="1" s="1"/>
  <c r="AG192" i="1"/>
  <c r="AJ192" i="1" s="1"/>
  <c r="AH192" i="1"/>
  <c r="AI192" i="1" s="1"/>
  <c r="AH150" i="1"/>
  <c r="AI150" i="1" s="1"/>
  <c r="AG150" i="1"/>
  <c r="AJ150" i="1" s="1"/>
  <c r="AG14" i="1"/>
  <c r="AJ14" i="1" s="1"/>
  <c r="AH14" i="1"/>
  <c r="AI14" i="1" s="1"/>
  <c r="AH131" i="1"/>
  <c r="AI131" i="1" s="1"/>
  <c r="AG131" i="1"/>
  <c r="AJ131" i="1" s="1"/>
  <c r="AH121" i="1"/>
  <c r="AI121" i="1" s="1"/>
  <c r="AG121" i="1"/>
  <c r="AJ121" i="1" s="1"/>
  <c r="AG173" i="1"/>
  <c r="AJ173" i="1" s="1"/>
  <c r="AH173" i="1"/>
  <c r="AI173" i="1" s="1"/>
  <c r="AH22" i="1"/>
  <c r="AI22" i="1" s="1"/>
  <c r="AG22" i="1"/>
  <c r="AJ22" i="1" s="1"/>
  <c r="AH55" i="1"/>
  <c r="AI55" i="1" s="1"/>
  <c r="AG55" i="1"/>
  <c r="AJ55" i="1" s="1"/>
  <c r="AH153" i="1"/>
  <c r="AI153" i="1" s="1"/>
  <c r="AG153" i="1"/>
  <c r="AJ153" i="1" s="1"/>
  <c r="AH66" i="1"/>
  <c r="AI66" i="1" s="1"/>
  <c r="AG66" i="1"/>
  <c r="AJ66" i="1" s="1"/>
  <c r="AG183" i="1"/>
  <c r="B45" i="1" s="1"/>
  <c r="B46" i="1" s="1"/>
  <c r="D46" i="1" s="1"/>
  <c r="AH183" i="1"/>
  <c r="AI183" i="1" s="1"/>
  <c r="AH136" i="1"/>
  <c r="AI136" i="1" s="1"/>
  <c r="AG136" i="1"/>
  <c r="AJ136" i="1" s="1"/>
  <c r="AG108" i="1"/>
  <c r="AJ108" i="1" s="1"/>
  <c r="AH108" i="1"/>
  <c r="AI108" i="1" s="1"/>
  <c r="AG137" i="1"/>
  <c r="AJ137" i="1" s="1"/>
  <c r="AH137" i="1"/>
  <c r="AI137" i="1" s="1"/>
  <c r="AG57" i="1"/>
  <c r="AJ57" i="1" s="1"/>
  <c r="AH57" i="1"/>
  <c r="AI57" i="1" s="1"/>
  <c r="AG20" i="1"/>
  <c r="AJ20" i="1" s="1"/>
  <c r="AH20" i="1"/>
  <c r="AI20" i="1" s="1"/>
  <c r="AH127" i="1"/>
  <c r="AI127" i="1" s="1"/>
  <c r="AG127" i="1"/>
  <c r="AJ127" i="1" s="1"/>
  <c r="AG90" i="1"/>
  <c r="AJ90" i="1" s="1"/>
  <c r="AH90" i="1"/>
  <c r="AI90" i="1" s="1"/>
  <c r="AH76" i="1"/>
  <c r="AI76" i="1" s="1"/>
  <c r="AG76" i="1"/>
  <c r="AJ76" i="1" s="1"/>
  <c r="AG198" i="1"/>
  <c r="AJ198" i="1" s="1"/>
  <c r="AH198" i="1"/>
  <c r="AI198" i="1" s="1"/>
  <c r="AG46" i="1"/>
  <c r="AJ46" i="1" s="1"/>
  <c r="AH46" i="1"/>
  <c r="AI46" i="1" s="1"/>
  <c r="AH23" i="1"/>
  <c r="AI23" i="1" s="1"/>
  <c r="AG23" i="1"/>
  <c r="AJ23" i="1" s="1"/>
  <c r="AG11" i="1"/>
  <c r="AJ11" i="1" s="1"/>
  <c r="AH11" i="1"/>
  <c r="AI11" i="1" s="1"/>
  <c r="AG16" i="1"/>
  <c r="AJ16" i="1" s="1"/>
  <c r="AH16" i="1"/>
  <c r="AI16" i="1" s="1"/>
  <c r="AH140" i="1"/>
  <c r="AI140" i="1" s="1"/>
  <c r="AG140" i="1"/>
  <c r="AJ140" i="1" s="1"/>
  <c r="AH181" i="1"/>
  <c r="AI181" i="1" s="1"/>
  <c r="AG181" i="1"/>
  <c r="AJ181" i="1" s="1"/>
  <c r="AH78" i="1"/>
  <c r="AI78" i="1" s="1"/>
  <c r="AG78" i="1"/>
  <c r="AJ78" i="1" s="1"/>
  <c r="AG152" i="1"/>
  <c r="AJ152" i="1" s="1"/>
  <c r="AH152" i="1"/>
  <c r="AI152" i="1" s="1"/>
  <c r="AH201" i="1"/>
  <c r="AI201" i="1" s="1"/>
  <c r="AG201" i="1"/>
  <c r="AJ201" i="1" s="1"/>
  <c r="AH36" i="1"/>
  <c r="AI36" i="1" s="1"/>
  <c r="AG36" i="1"/>
  <c r="AJ36" i="1" s="1"/>
  <c r="AG128" i="1"/>
  <c r="AJ128" i="1" s="1"/>
  <c r="AH128" i="1"/>
  <c r="AI128" i="1" s="1"/>
  <c r="AH59" i="1"/>
  <c r="AI59" i="1" s="1"/>
  <c r="AG59" i="1"/>
  <c r="AJ59" i="1" s="1"/>
  <c r="AH47" i="1"/>
  <c r="AI47" i="1" s="1"/>
  <c r="AG47" i="1"/>
  <c r="AJ47" i="1" s="1"/>
  <c r="AH129" i="1"/>
  <c r="AI129" i="1" s="1"/>
  <c r="AG129" i="1"/>
  <c r="AJ129" i="1" s="1"/>
  <c r="AH158" i="1"/>
  <c r="AI158" i="1" s="1"/>
  <c r="AG158" i="1"/>
  <c r="AJ158" i="1" s="1"/>
  <c r="AG48" i="1"/>
  <c r="AJ48" i="1" s="1"/>
  <c r="AH48" i="1"/>
  <c r="AI48" i="1" s="1"/>
  <c r="AG15" i="1"/>
  <c r="AJ15" i="1" s="1"/>
  <c r="AH15" i="1"/>
  <c r="AI15" i="1" s="1"/>
  <c r="AH102" i="1"/>
  <c r="AI102" i="1" s="1"/>
  <c r="AG102" i="1"/>
  <c r="AJ102" i="1" s="1"/>
  <c r="AH65" i="1"/>
  <c r="AI65" i="1" s="1"/>
  <c r="AG65" i="1"/>
  <c r="AJ65" i="1" s="1"/>
  <c r="AG135" i="1"/>
  <c r="AJ135" i="1" s="1"/>
  <c r="AH135" i="1"/>
  <c r="AI135" i="1" s="1"/>
  <c r="AG39" i="1"/>
  <c r="AJ39" i="1" s="1"/>
  <c r="AH39" i="1"/>
  <c r="AI39" i="1" s="1"/>
  <c r="AH168" i="1"/>
  <c r="AI168" i="1" s="1"/>
  <c r="AG168" i="1"/>
  <c r="AJ168" i="1" s="1"/>
  <c r="AH142" i="1"/>
  <c r="AI142" i="1" s="1"/>
  <c r="AG142" i="1"/>
  <c r="AJ142" i="1" s="1"/>
  <c r="AH70" i="1"/>
  <c r="AI70" i="1" s="1"/>
  <c r="AG70" i="1"/>
  <c r="AJ70" i="1" s="1"/>
  <c r="AH26" i="1"/>
  <c r="AI26" i="1" s="1"/>
  <c r="AG26" i="1"/>
  <c r="AJ26" i="1" s="1"/>
  <c r="AH67" i="1"/>
  <c r="AI67" i="1" s="1"/>
  <c r="AG67" i="1"/>
  <c r="AJ67" i="1" s="1"/>
  <c r="AH175" i="1"/>
  <c r="AI175" i="1" s="1"/>
  <c r="AG175" i="1"/>
  <c r="AJ175" i="1" s="1"/>
  <c r="AH160" i="1"/>
  <c r="AI160" i="1" s="1"/>
  <c r="AG160" i="1"/>
  <c r="AJ160" i="1" s="1"/>
  <c r="AH134" i="1"/>
  <c r="AI134" i="1" s="1"/>
  <c r="AG134" i="1"/>
  <c r="AJ134" i="1" s="1"/>
  <c r="AH177" i="1"/>
  <c r="AI177" i="1" s="1"/>
  <c r="AG177" i="1"/>
  <c r="AJ177" i="1" s="1"/>
  <c r="AH56" i="1"/>
  <c r="AI56" i="1" s="1"/>
  <c r="AG56" i="1"/>
  <c r="AJ56" i="1" s="1"/>
  <c r="AH122" i="1"/>
  <c r="AI122" i="1" s="1"/>
  <c r="AG122" i="1"/>
  <c r="AJ122" i="1" s="1"/>
  <c r="AH174" i="1"/>
  <c r="AI174" i="1" s="1"/>
  <c r="AG174" i="1"/>
  <c r="AJ174" i="1" s="1"/>
  <c r="AH139" i="1"/>
  <c r="AI139" i="1" s="1"/>
  <c r="AG139" i="1"/>
  <c r="AJ139" i="1" s="1"/>
  <c r="AH130" i="1"/>
  <c r="AI130" i="1" s="1"/>
  <c r="AG130" i="1"/>
  <c r="AJ130" i="1" s="1"/>
  <c r="AH96" i="1"/>
  <c r="AI96" i="1" s="1"/>
  <c r="AG96" i="1"/>
  <c r="AJ96" i="1" s="1"/>
  <c r="AH24" i="1"/>
  <c r="AI24" i="1" s="1"/>
  <c r="AG24" i="1"/>
  <c r="AJ24" i="1" s="1"/>
  <c r="B48" i="1" l="1"/>
  <c r="D48" i="1" s="1"/>
  <c r="AJ183" i="1"/>
  <c r="B47" i="1" l="1"/>
  <c r="D47" i="1" s="1"/>
  <c r="G19" i="1"/>
  <c r="G18" i="1" l="1"/>
  <c r="G17" i="1" s="1"/>
  <c r="T23" i="1" s="1"/>
  <c r="AL2" i="1" s="1"/>
  <c r="G20" i="1"/>
  <c r="T22" i="1" s="1"/>
  <c r="T24" i="1"/>
  <c r="T25" i="1"/>
  <c r="G16" i="1"/>
  <c r="T21" i="1" s="1"/>
  <c r="AL177" i="1" l="1"/>
  <c r="AL155" i="1"/>
  <c r="AL9" i="1"/>
  <c r="AL109" i="1"/>
  <c r="AL110" i="1"/>
  <c r="AL78" i="1"/>
  <c r="AL4" i="1"/>
  <c r="AL129" i="1"/>
  <c r="AL5" i="1"/>
  <c r="AL61" i="1"/>
  <c r="AL47" i="1"/>
  <c r="AL160" i="1"/>
  <c r="AL14" i="1"/>
  <c r="AL57" i="1"/>
  <c r="AL132" i="1"/>
  <c r="AL46" i="1"/>
  <c r="AL187" i="1"/>
  <c r="AL102" i="1"/>
  <c r="AL97" i="1"/>
  <c r="AL130" i="1"/>
  <c r="AL143" i="1"/>
  <c r="AL16" i="1"/>
  <c r="AL77" i="1"/>
  <c r="AL131" i="1"/>
  <c r="AL191" i="1"/>
  <c r="AL133" i="1"/>
  <c r="AL170" i="1"/>
  <c r="AL141" i="1"/>
  <c r="AL67" i="1"/>
  <c r="AL140" i="1"/>
  <c r="AL44" i="1"/>
  <c r="AL36" i="1"/>
  <c r="AL60" i="1"/>
  <c r="AL171" i="1"/>
  <c r="AL70" i="1"/>
  <c r="AL124" i="1"/>
  <c r="AL19" i="1"/>
  <c r="AL101" i="1"/>
  <c r="AL192" i="1"/>
  <c r="AL71" i="1"/>
  <c r="AL166" i="1"/>
  <c r="AL108" i="1"/>
  <c r="AL182" i="1"/>
  <c r="AL100" i="1"/>
  <c r="AL198" i="1"/>
  <c r="AL136" i="1"/>
  <c r="AL121" i="1"/>
  <c r="AL144" i="1"/>
  <c r="AL8" i="1"/>
  <c r="AL64" i="1"/>
  <c r="AL68" i="1"/>
  <c r="AL123" i="1"/>
  <c r="AL99" i="1"/>
  <c r="AL74" i="1"/>
  <c r="AL13" i="1"/>
  <c r="AL146" i="1"/>
  <c r="AL12" i="1"/>
  <c r="AL50" i="1"/>
  <c r="AL83" i="1"/>
  <c r="AL85" i="1"/>
  <c r="AL94" i="1"/>
  <c r="AL185" i="1"/>
  <c r="AL95" i="1"/>
  <c r="AL117" i="1"/>
  <c r="AL28" i="1"/>
  <c r="AL75" i="1"/>
  <c r="AL178" i="1"/>
  <c r="AL154" i="1"/>
  <c r="AL20" i="1"/>
  <c r="AL51" i="1"/>
  <c r="AL112" i="1"/>
  <c r="AL194" i="1"/>
  <c r="AL52" i="1"/>
  <c r="AL120" i="1"/>
  <c r="AL186" i="1"/>
  <c r="AL179" i="1"/>
  <c r="AL164" i="1"/>
  <c r="AL21" i="1"/>
  <c r="AL49" i="1"/>
  <c r="AL119" i="1"/>
  <c r="AL39" i="1"/>
  <c r="AL62" i="1"/>
  <c r="AL150" i="1"/>
  <c r="AL165" i="1"/>
  <c r="AL169" i="1"/>
  <c r="AL31" i="1"/>
  <c r="AL73" i="1"/>
  <c r="AL195" i="1"/>
  <c r="AL202" i="1"/>
  <c r="AL91" i="1"/>
  <c r="AL153" i="1"/>
  <c r="AL34" i="1"/>
  <c r="AL156" i="1"/>
  <c r="AL11" i="1"/>
  <c r="AL41" i="1"/>
  <c r="AL114" i="1"/>
  <c r="AL135" i="1"/>
  <c r="AL176" i="1"/>
  <c r="AL172" i="1"/>
  <c r="AL42" i="1"/>
  <c r="AL32" i="1"/>
  <c r="AL81" i="1"/>
  <c r="AL76" i="1"/>
  <c r="AL200" i="1"/>
  <c r="AL148" i="1"/>
  <c r="AL54" i="1"/>
  <c r="AL196" i="1"/>
  <c r="AL149" i="1"/>
  <c r="AL167" i="1"/>
  <c r="AL199" i="1"/>
  <c r="AL82" i="1"/>
  <c r="AL151" i="1"/>
  <c r="AL188" i="1"/>
  <c r="AL55" i="1"/>
  <c r="AL125" i="1"/>
  <c r="AL162" i="1"/>
  <c r="AL72" i="1"/>
  <c r="AL115" i="1"/>
  <c r="AL90" i="1"/>
  <c r="AL201" i="1"/>
  <c r="AL80" i="1"/>
  <c r="AL93" i="1"/>
  <c r="AL189" i="1"/>
  <c r="AL122" i="1"/>
  <c r="AL17" i="1"/>
  <c r="AL197" i="1"/>
  <c r="AL128" i="1"/>
  <c r="AL15" i="1"/>
  <c r="AL3" i="1"/>
  <c r="AL152" i="1"/>
  <c r="AL87" i="1"/>
  <c r="AL137" i="1"/>
  <c r="AL159" i="1"/>
  <c r="AL29" i="1"/>
  <c r="AL127" i="1"/>
  <c r="AL107" i="1"/>
  <c r="AL10" i="1"/>
  <c r="AL105" i="1"/>
  <c r="AL6" i="1"/>
  <c r="AL183" i="1"/>
  <c r="AL98" i="1"/>
  <c r="AL113" i="1"/>
  <c r="AL65" i="1"/>
  <c r="AL134" i="1"/>
  <c r="AL43" i="1"/>
  <c r="AL25" i="1"/>
  <c r="AL142" i="1"/>
  <c r="AL180" i="1"/>
  <c r="AL163" i="1"/>
  <c r="AL24" i="1"/>
  <c r="AL23" i="1"/>
  <c r="AL84" i="1"/>
  <c r="AL158" i="1"/>
  <c r="AL56" i="1"/>
  <c r="AL86" i="1"/>
  <c r="AL173" i="1"/>
  <c r="AL193" i="1"/>
  <c r="AL79" i="1"/>
  <c r="AL118" i="1"/>
  <c r="AL7" i="1"/>
  <c r="AL58" i="1"/>
  <c r="AL181" i="1"/>
  <c r="AL35" i="1"/>
  <c r="AL96" i="1"/>
  <c r="AL22" i="1"/>
  <c r="AL53" i="1"/>
  <c r="AL147" i="1"/>
  <c r="AL37" i="1"/>
  <c r="AL26" i="1"/>
  <c r="AL30" i="1"/>
  <c r="AL145" i="1"/>
  <c r="AL111" i="1"/>
  <c r="AL45" i="1"/>
  <c r="AL48" i="1"/>
  <c r="AL168" i="1"/>
  <c r="AL106" i="1"/>
  <c r="AL59" i="1"/>
  <c r="AL174" i="1"/>
  <c r="AL126" i="1"/>
  <c r="AL38" i="1"/>
  <c r="AL27" i="1"/>
  <c r="AL66" i="1"/>
  <c r="AL104" i="1"/>
  <c r="AL18" i="1"/>
  <c r="AL33" i="1"/>
  <c r="AL138" i="1"/>
  <c r="AL103" i="1"/>
  <c r="AL89" i="1"/>
  <c r="AL92" i="1"/>
  <c r="AL175" i="1"/>
  <c r="AL40" i="1"/>
  <c r="AL88" i="1"/>
  <c r="AL116" i="1"/>
  <c r="AL161" i="1"/>
  <c r="AL190" i="1"/>
  <c r="AL63" i="1"/>
  <c r="AL157" i="1"/>
  <c r="AL184" i="1"/>
  <c r="AL139" i="1"/>
  <c r="AL69" i="1"/>
  <c r="AM3" i="1"/>
  <c r="AN3" i="1" s="1"/>
  <c r="AO3" i="1" s="1"/>
  <c r="AR3" i="1" s="1"/>
  <c r="AS3" i="1" s="1"/>
  <c r="AM118" i="1"/>
  <c r="AM98" i="1"/>
  <c r="AM41" i="1"/>
  <c r="AM143" i="1"/>
  <c r="AN143" i="1" s="1"/>
  <c r="AO143" i="1" s="1"/>
  <c r="AR143" i="1" s="1"/>
  <c r="AS143" i="1" s="1"/>
  <c r="AM58" i="1"/>
  <c r="AM24" i="1"/>
  <c r="AM113" i="1"/>
  <c r="AM181" i="1"/>
  <c r="AM147" i="1"/>
  <c r="AM173" i="1"/>
  <c r="AM200" i="1"/>
  <c r="AN200" i="1" s="1"/>
  <c r="AP200" i="1" s="1"/>
  <c r="AQ200" i="1" s="1"/>
  <c r="AT200" i="1" s="1"/>
  <c r="AM73" i="1"/>
  <c r="AM106" i="1"/>
  <c r="AM191" i="1"/>
  <c r="AM187" i="1"/>
  <c r="AM197" i="1"/>
  <c r="AM139" i="1"/>
  <c r="AM25" i="1"/>
  <c r="AM87" i="1"/>
  <c r="AM15" i="1"/>
  <c r="AM31" i="1"/>
  <c r="AN31" i="1" s="1"/>
  <c r="AP31" i="1" s="1"/>
  <c r="AQ31" i="1" s="1"/>
  <c r="AT31" i="1" s="1"/>
  <c r="AM126" i="1"/>
  <c r="AN126" i="1" s="1"/>
  <c r="AP126" i="1" s="1"/>
  <c r="AQ126" i="1" s="1"/>
  <c r="AT126" i="1" s="1"/>
  <c r="AM94" i="1"/>
  <c r="AM149" i="1"/>
  <c r="AM107" i="1"/>
  <c r="AM5" i="1"/>
  <c r="AN5" i="1" s="1"/>
  <c r="AP5" i="1" s="1"/>
  <c r="AQ5" i="1" s="1"/>
  <c r="AT5" i="1" s="1"/>
  <c r="AM104" i="1"/>
  <c r="AM186" i="1"/>
  <c r="AM179" i="1"/>
  <c r="AM18" i="1"/>
  <c r="AM55" i="1"/>
  <c r="AM109" i="1"/>
  <c r="AM101" i="1"/>
  <c r="AN101" i="1" s="1"/>
  <c r="AO101" i="1" s="1"/>
  <c r="AR101" i="1" s="1"/>
  <c r="AS101" i="1" s="1"/>
  <c r="AM148" i="1"/>
  <c r="AN148" i="1" s="1"/>
  <c r="AO148" i="1" s="1"/>
  <c r="AR148" i="1" s="1"/>
  <c r="AS148" i="1" s="1"/>
  <c r="AM172" i="1"/>
  <c r="AM81" i="1"/>
  <c r="AM127" i="1"/>
  <c r="AM132" i="1"/>
  <c r="AN132" i="1" s="1"/>
  <c r="AP132" i="1" s="1"/>
  <c r="AQ132" i="1" s="1"/>
  <c r="AT132" i="1" s="1"/>
  <c r="AM63" i="1"/>
  <c r="AN63" i="1" s="1"/>
  <c r="AP63" i="1" s="1"/>
  <c r="AQ63" i="1" s="1"/>
  <c r="AT63" i="1" s="1"/>
  <c r="AM177" i="1"/>
  <c r="AN177" i="1" s="1"/>
  <c r="AP177" i="1" s="1"/>
  <c r="AQ177" i="1" s="1"/>
  <c r="AT177" i="1" s="1"/>
  <c r="AM116" i="1"/>
  <c r="AM168" i="1"/>
  <c r="AN168" i="1" s="1"/>
  <c r="AP168" i="1" s="1"/>
  <c r="AQ168" i="1" s="1"/>
  <c r="AT168" i="1" s="1"/>
  <c r="AM152" i="1"/>
  <c r="AM201" i="1"/>
  <c r="AM110" i="1"/>
  <c r="AM65" i="1"/>
  <c r="AN65" i="1" s="1"/>
  <c r="AO65" i="1" s="1"/>
  <c r="AR65" i="1" s="1"/>
  <c r="AS65" i="1" s="1"/>
  <c r="AM133" i="1"/>
  <c r="AM193" i="1"/>
  <c r="AN193" i="1" s="1"/>
  <c r="AP193" i="1" s="1"/>
  <c r="AQ193" i="1" s="1"/>
  <c r="AT193" i="1" s="1"/>
  <c r="AM60" i="1"/>
  <c r="AM121" i="1"/>
  <c r="AN121" i="1" s="1"/>
  <c r="AO121" i="1" s="1"/>
  <c r="AR121" i="1" s="1"/>
  <c r="AS121" i="1" s="1"/>
  <c r="AM67" i="1"/>
  <c r="AM54" i="1"/>
  <c r="AM76" i="1"/>
  <c r="AM75" i="1"/>
  <c r="AM7" i="1"/>
  <c r="AN7" i="1" s="1"/>
  <c r="AO7" i="1" s="1"/>
  <c r="AR7" i="1" s="1"/>
  <c r="AS7" i="1" s="1"/>
  <c r="AM51" i="1"/>
  <c r="AM195" i="1"/>
  <c r="AM174" i="1"/>
  <c r="AM175" i="1"/>
  <c r="AM86" i="1"/>
  <c r="AM14" i="1"/>
  <c r="AM137" i="1"/>
  <c r="AM26" i="1"/>
  <c r="AM97" i="1"/>
  <c r="AM36" i="1"/>
  <c r="AM95" i="1"/>
  <c r="AN95" i="1" s="1"/>
  <c r="AP95" i="1" s="1"/>
  <c r="AQ95" i="1" s="1"/>
  <c r="AT95" i="1" s="1"/>
  <c r="AM11" i="1"/>
  <c r="AM62" i="1"/>
  <c r="AM153" i="1"/>
  <c r="AM48" i="1"/>
  <c r="AM42" i="1"/>
  <c r="AN42" i="1" s="1"/>
  <c r="AO42" i="1" s="1"/>
  <c r="AR42" i="1" s="1"/>
  <c r="AS42" i="1" s="1"/>
  <c r="AM140" i="1"/>
  <c r="AM27" i="1"/>
  <c r="AM125" i="1"/>
  <c r="AN125" i="1" s="1"/>
  <c r="AP125" i="1" s="1"/>
  <c r="AQ125" i="1" s="1"/>
  <c r="AT125" i="1" s="1"/>
  <c r="AM180" i="1"/>
  <c r="AN180" i="1" s="1"/>
  <c r="AO180" i="1" s="1"/>
  <c r="AR180" i="1" s="1"/>
  <c r="AS180" i="1" s="1"/>
  <c r="AM53" i="1"/>
  <c r="AM176" i="1"/>
  <c r="AN176" i="1" s="1"/>
  <c r="AP176" i="1" s="1"/>
  <c r="AQ176" i="1" s="1"/>
  <c r="AT176" i="1" s="1"/>
  <c r="AM50" i="1"/>
  <c r="AM49" i="1"/>
  <c r="AM150" i="1"/>
  <c r="AM146" i="1"/>
  <c r="AM39" i="1"/>
  <c r="AN39" i="1" s="1"/>
  <c r="AM79" i="1"/>
  <c r="AM198" i="1"/>
  <c r="AN198" i="1" s="1"/>
  <c r="AP198" i="1" s="1"/>
  <c r="AQ198" i="1" s="1"/>
  <c r="AT198" i="1" s="1"/>
  <c r="AM189" i="1"/>
  <c r="AM162" i="1"/>
  <c r="AM72" i="1"/>
  <c r="AM30" i="1"/>
  <c r="AM196" i="1"/>
  <c r="AM33" i="1"/>
  <c r="AN33" i="1" s="1"/>
  <c r="AP33" i="1" s="1"/>
  <c r="AQ33" i="1" s="1"/>
  <c r="AT33" i="1" s="1"/>
  <c r="AM102" i="1"/>
  <c r="AM142" i="1"/>
  <c r="AM145" i="1"/>
  <c r="AM34" i="1"/>
  <c r="AM96" i="1"/>
  <c r="AN96" i="1" s="1"/>
  <c r="AP96" i="1" s="1"/>
  <c r="AQ96" i="1" s="1"/>
  <c r="AT96" i="1" s="1"/>
  <c r="AM190" i="1"/>
  <c r="AM188" i="1"/>
  <c r="AM160" i="1"/>
  <c r="AM69" i="1"/>
  <c r="AN69" i="1" s="1"/>
  <c r="AP69" i="1" s="1"/>
  <c r="AQ69" i="1" s="1"/>
  <c r="AT69" i="1" s="1"/>
  <c r="AM89" i="1"/>
  <c r="AM170" i="1"/>
  <c r="AM52" i="1"/>
  <c r="AN52" i="1" s="1"/>
  <c r="AP52" i="1" s="1"/>
  <c r="AQ52" i="1" s="1"/>
  <c r="AT52" i="1" s="1"/>
  <c r="AM163" i="1"/>
  <c r="AM45" i="1"/>
  <c r="AN45" i="1" s="1"/>
  <c r="AO45" i="1" s="1"/>
  <c r="AR45" i="1" s="1"/>
  <c r="AS45" i="1" s="1"/>
  <c r="AM141" i="1"/>
  <c r="AM9" i="1"/>
  <c r="AN9" i="1" s="1"/>
  <c r="AO9" i="1" s="1"/>
  <c r="AR9" i="1" s="1"/>
  <c r="AS9" i="1" s="1"/>
  <c r="AM64" i="1"/>
  <c r="AM8" i="1"/>
  <c r="AN8" i="1" s="1"/>
  <c r="AM103" i="1"/>
  <c r="AM114" i="1"/>
  <c r="AM20" i="1"/>
  <c r="AM183" i="1"/>
  <c r="AM155" i="1"/>
  <c r="AM194" i="1"/>
  <c r="AM4" i="1"/>
  <c r="AM157" i="1"/>
  <c r="AN157" i="1" s="1"/>
  <c r="AM77" i="1"/>
  <c r="AM37" i="1"/>
  <c r="AM159" i="1"/>
  <c r="AM28" i="1"/>
  <c r="AN28" i="1" s="1"/>
  <c r="AM192" i="1"/>
  <c r="AM119" i="1"/>
  <c r="AM12" i="1"/>
  <c r="AM131" i="1"/>
  <c r="AM10" i="1"/>
  <c r="AM167" i="1"/>
  <c r="AN167" i="1" s="1"/>
  <c r="AO167" i="1" s="1"/>
  <c r="AR167" i="1" s="1"/>
  <c r="AS167" i="1" s="1"/>
  <c r="AM21" i="1"/>
  <c r="AM99" i="1"/>
  <c r="AN99" i="1" s="1"/>
  <c r="AO99" i="1" s="1"/>
  <c r="AR99" i="1" s="1"/>
  <c r="AS99" i="1" s="1"/>
  <c r="AM35" i="1"/>
  <c r="AM91" i="1"/>
  <c r="AM129" i="1"/>
  <c r="AN129" i="1" s="1"/>
  <c r="AP129" i="1" s="1"/>
  <c r="AQ129" i="1" s="1"/>
  <c r="AT129" i="1" s="1"/>
  <c r="AM161" i="1"/>
  <c r="AM13" i="1"/>
  <c r="AM184" i="1"/>
  <c r="AM124" i="1"/>
  <c r="AN124" i="1" s="1"/>
  <c r="AP124" i="1" s="1"/>
  <c r="AQ124" i="1" s="1"/>
  <c r="AT124" i="1" s="1"/>
  <c r="AM115" i="1"/>
  <c r="AM158" i="1"/>
  <c r="AM68" i="1"/>
  <c r="AN68" i="1" s="1"/>
  <c r="AP68" i="1" s="1"/>
  <c r="AQ68" i="1" s="1"/>
  <c r="AT68" i="1" s="1"/>
  <c r="AM169" i="1"/>
  <c r="AM92" i="1"/>
  <c r="AN92" i="1" s="1"/>
  <c r="AM74" i="1"/>
  <c r="AN74" i="1" s="1"/>
  <c r="AO74" i="1" s="1"/>
  <c r="AR74" i="1" s="1"/>
  <c r="AS74" i="1" s="1"/>
  <c r="AM182" i="1"/>
  <c r="AN182" i="1" s="1"/>
  <c r="AO182" i="1" s="1"/>
  <c r="AR182" i="1" s="1"/>
  <c r="AS182" i="1" s="1"/>
  <c r="AM123" i="1"/>
  <c r="AN123" i="1" s="1"/>
  <c r="AP123" i="1" s="1"/>
  <c r="AQ123" i="1" s="1"/>
  <c r="AT123" i="1" s="1"/>
  <c r="AM156" i="1"/>
  <c r="AN156" i="1" s="1"/>
  <c r="AM40" i="1"/>
  <c r="AM80" i="1"/>
  <c r="AN80" i="1" s="1"/>
  <c r="AM105" i="1"/>
  <c r="AM122" i="1"/>
  <c r="AM29" i="1"/>
  <c r="AN29" i="1" s="1"/>
  <c r="AP29" i="1" s="1"/>
  <c r="AQ29" i="1" s="1"/>
  <c r="AT29" i="1" s="1"/>
  <c r="AM90" i="1"/>
  <c r="AN90" i="1" s="1"/>
  <c r="AO90" i="1" s="1"/>
  <c r="AR90" i="1" s="1"/>
  <c r="AS90" i="1" s="1"/>
  <c r="AM85" i="1"/>
  <c r="AN85" i="1" s="1"/>
  <c r="AO85" i="1" s="1"/>
  <c r="AR85" i="1" s="1"/>
  <c r="AS85" i="1" s="1"/>
  <c r="AM57" i="1"/>
  <c r="AM84" i="1"/>
  <c r="AM154" i="1"/>
  <c r="AM171" i="1"/>
  <c r="AM144" i="1"/>
  <c r="AM2" i="1"/>
  <c r="AN2" i="1" s="1"/>
  <c r="AM199" i="1"/>
  <c r="AM202" i="1"/>
  <c r="AM130" i="1"/>
  <c r="AM22" i="1"/>
  <c r="AM117" i="1"/>
  <c r="AM100" i="1"/>
  <c r="AN100" i="1" s="1"/>
  <c r="AO100" i="1" s="1"/>
  <c r="AR100" i="1" s="1"/>
  <c r="AS100" i="1" s="1"/>
  <c r="AM23" i="1"/>
  <c r="AM78" i="1"/>
  <c r="AN78" i="1" s="1"/>
  <c r="AO78" i="1" s="1"/>
  <c r="AR78" i="1" s="1"/>
  <c r="AS78" i="1" s="1"/>
  <c r="AM178" i="1"/>
  <c r="AN178" i="1" s="1"/>
  <c r="AP178" i="1" s="1"/>
  <c r="AQ178" i="1" s="1"/>
  <c r="AT178" i="1" s="1"/>
  <c r="AM164" i="1"/>
  <c r="AM136" i="1"/>
  <c r="AM43" i="1"/>
  <c r="AM44" i="1"/>
  <c r="AN44" i="1" s="1"/>
  <c r="AM70" i="1"/>
  <c r="AM185" i="1"/>
  <c r="AM93" i="1"/>
  <c r="AN93" i="1" s="1"/>
  <c r="AO93" i="1" s="1"/>
  <c r="AR93" i="1" s="1"/>
  <c r="AS93" i="1" s="1"/>
  <c r="AM128" i="1"/>
  <c r="AN128" i="1" s="1"/>
  <c r="AO128" i="1" s="1"/>
  <c r="AR128" i="1" s="1"/>
  <c r="AS128" i="1" s="1"/>
  <c r="AM32" i="1"/>
  <c r="AM47" i="1"/>
  <c r="AM46" i="1"/>
  <c r="AM66" i="1"/>
  <c r="AM71" i="1"/>
  <c r="AN71" i="1" s="1"/>
  <c r="AO71" i="1" s="1"/>
  <c r="AR71" i="1" s="1"/>
  <c r="AS71" i="1" s="1"/>
  <c r="AM61" i="1"/>
  <c r="AM56" i="1"/>
  <c r="AN56" i="1" s="1"/>
  <c r="AO56" i="1" s="1"/>
  <c r="AR56" i="1" s="1"/>
  <c r="AS56" i="1" s="1"/>
  <c r="AM138" i="1"/>
  <c r="AM166" i="1"/>
  <c r="AM88" i="1"/>
  <c r="AM112" i="1"/>
  <c r="AM108" i="1"/>
  <c r="AM111" i="1"/>
  <c r="AN111" i="1" s="1"/>
  <c r="AP111" i="1" s="1"/>
  <c r="AQ111" i="1" s="1"/>
  <c r="AT111" i="1" s="1"/>
  <c r="AM6" i="1"/>
  <c r="AM16" i="1"/>
  <c r="AN16" i="1" s="1"/>
  <c r="AO16" i="1" s="1"/>
  <c r="AR16" i="1" s="1"/>
  <c r="AS16" i="1" s="1"/>
  <c r="AM135" i="1"/>
  <c r="AN135" i="1" s="1"/>
  <c r="AM59" i="1"/>
  <c r="AM120" i="1"/>
  <c r="AM17" i="1"/>
  <c r="AM83" i="1"/>
  <c r="AN83" i="1" s="1"/>
  <c r="AM151" i="1"/>
  <c r="AN151" i="1" s="1"/>
  <c r="AP151" i="1" s="1"/>
  <c r="AQ151" i="1" s="1"/>
  <c r="AT151" i="1" s="1"/>
  <c r="AM38" i="1"/>
  <c r="AM19" i="1"/>
  <c r="AM134" i="1"/>
  <c r="AM82" i="1"/>
  <c r="AM165" i="1"/>
  <c r="AN155" i="1"/>
  <c r="AO155" i="1" s="1"/>
  <c r="AR155" i="1" s="1"/>
  <c r="AS155" i="1" s="1"/>
  <c r="AN191" i="1" l="1"/>
  <c r="AO191" i="1" s="1"/>
  <c r="AR191" i="1" s="1"/>
  <c r="AS191" i="1" s="1"/>
  <c r="AN47" i="1"/>
  <c r="AO47" i="1" s="1"/>
  <c r="AR47" i="1" s="1"/>
  <c r="AS47" i="1" s="1"/>
  <c r="AN97" i="1"/>
  <c r="AP97" i="1" s="1"/>
  <c r="AQ97" i="1" s="1"/>
  <c r="AT97" i="1" s="1"/>
  <c r="AN109" i="1"/>
  <c r="AO109" i="1" s="1"/>
  <c r="AR109" i="1" s="1"/>
  <c r="AS109" i="1" s="1"/>
  <c r="AN46" i="1"/>
  <c r="AO46" i="1" s="1"/>
  <c r="AR46" i="1" s="1"/>
  <c r="AS46" i="1" s="1"/>
  <c r="AN141" i="1"/>
  <c r="AO141" i="1" s="1"/>
  <c r="AR141" i="1" s="1"/>
  <c r="AS141" i="1" s="1"/>
  <c r="AN36" i="1"/>
  <c r="AO36" i="1" s="1"/>
  <c r="AR36" i="1" s="1"/>
  <c r="AS36" i="1" s="1"/>
  <c r="AN82" i="1"/>
  <c r="AP82" i="1" s="1"/>
  <c r="AQ82" i="1" s="1"/>
  <c r="AT82" i="1" s="1"/>
  <c r="AN59" i="1"/>
  <c r="AP59" i="1" s="1"/>
  <c r="AQ59" i="1" s="1"/>
  <c r="AT59" i="1" s="1"/>
  <c r="AN166" i="1"/>
  <c r="AO166" i="1" s="1"/>
  <c r="AR166" i="1" s="1"/>
  <c r="AS166" i="1" s="1"/>
  <c r="AN32" i="1"/>
  <c r="AO32" i="1" s="1"/>
  <c r="AR32" i="1" s="1"/>
  <c r="AS32" i="1" s="1"/>
  <c r="AN70" i="1"/>
  <c r="AP70" i="1" s="1"/>
  <c r="AQ70" i="1" s="1"/>
  <c r="AT70" i="1" s="1"/>
  <c r="AN164" i="1"/>
  <c r="AP164" i="1" s="1"/>
  <c r="AQ164" i="1" s="1"/>
  <c r="AT164" i="1" s="1"/>
  <c r="AN202" i="1"/>
  <c r="AP202" i="1" s="1"/>
  <c r="AQ202" i="1" s="1"/>
  <c r="AT202" i="1" s="1"/>
  <c r="AN169" i="1"/>
  <c r="AO169" i="1" s="1"/>
  <c r="AR169" i="1" s="1"/>
  <c r="AS169" i="1" s="1"/>
  <c r="AN12" i="1"/>
  <c r="AO12" i="1" s="1"/>
  <c r="AR12" i="1" s="1"/>
  <c r="AS12" i="1" s="1"/>
  <c r="AN159" i="1"/>
  <c r="AO159" i="1" s="1"/>
  <c r="AR159" i="1" s="1"/>
  <c r="AS159" i="1" s="1"/>
  <c r="AN4" i="1"/>
  <c r="AP4" i="1" s="1"/>
  <c r="AQ4" i="1" s="1"/>
  <c r="AT4" i="1" s="1"/>
  <c r="AN20" i="1"/>
  <c r="AP20" i="1" s="1"/>
  <c r="AQ20" i="1" s="1"/>
  <c r="AT20" i="1" s="1"/>
  <c r="AN163" i="1"/>
  <c r="AP163" i="1" s="1"/>
  <c r="AQ163" i="1" s="1"/>
  <c r="AT163" i="1" s="1"/>
  <c r="AN72" i="1"/>
  <c r="AP72" i="1" s="1"/>
  <c r="AQ72" i="1" s="1"/>
  <c r="AT72" i="1" s="1"/>
  <c r="AN49" i="1"/>
  <c r="AP49" i="1" s="1"/>
  <c r="AQ49" i="1" s="1"/>
  <c r="AT49" i="1" s="1"/>
  <c r="AN26" i="1"/>
  <c r="AO26" i="1" s="1"/>
  <c r="AR26" i="1" s="1"/>
  <c r="AS26" i="1" s="1"/>
  <c r="AN67" i="1"/>
  <c r="AP67" i="1" s="1"/>
  <c r="AQ67" i="1" s="1"/>
  <c r="AT67" i="1" s="1"/>
  <c r="AN172" i="1"/>
  <c r="AO172" i="1" s="1"/>
  <c r="AR172" i="1" s="1"/>
  <c r="AS172" i="1" s="1"/>
  <c r="AN104" i="1"/>
  <c r="AO104" i="1" s="1"/>
  <c r="AR104" i="1" s="1"/>
  <c r="AS104" i="1" s="1"/>
  <c r="AN94" i="1"/>
  <c r="AO94" i="1" s="1"/>
  <c r="AR94" i="1" s="1"/>
  <c r="AS94" i="1" s="1"/>
  <c r="AN87" i="1"/>
  <c r="AO87" i="1" s="1"/>
  <c r="AR87" i="1" s="1"/>
  <c r="AS87" i="1" s="1"/>
  <c r="AN187" i="1"/>
  <c r="AP187" i="1" s="1"/>
  <c r="AQ187" i="1" s="1"/>
  <c r="AT187" i="1" s="1"/>
  <c r="AN41" i="1"/>
  <c r="AO41" i="1" s="1"/>
  <c r="AR41" i="1" s="1"/>
  <c r="AS41" i="1" s="1"/>
  <c r="AN19" i="1"/>
  <c r="AO19" i="1" s="1"/>
  <c r="AR19" i="1" s="1"/>
  <c r="AS19" i="1" s="1"/>
  <c r="AN17" i="1"/>
  <c r="AP17" i="1" s="1"/>
  <c r="AQ17" i="1" s="1"/>
  <c r="AT17" i="1" s="1"/>
  <c r="AN43" i="1"/>
  <c r="AP43" i="1" s="1"/>
  <c r="AQ43" i="1" s="1"/>
  <c r="AT43" i="1" s="1"/>
  <c r="AN22" i="1"/>
  <c r="AP22" i="1" s="1"/>
  <c r="AQ22" i="1" s="1"/>
  <c r="AT22" i="1" s="1"/>
  <c r="AN158" i="1"/>
  <c r="AO158" i="1" s="1"/>
  <c r="AR158" i="1" s="1"/>
  <c r="AS158" i="1" s="1"/>
  <c r="AN10" i="1"/>
  <c r="AO10" i="1" s="1"/>
  <c r="AR10" i="1" s="1"/>
  <c r="AS10" i="1" s="1"/>
  <c r="AN77" i="1"/>
  <c r="AO77" i="1" s="1"/>
  <c r="AR77" i="1" s="1"/>
  <c r="AS77" i="1" s="1"/>
  <c r="AN170" i="1"/>
  <c r="AP170" i="1" s="1"/>
  <c r="AQ170" i="1" s="1"/>
  <c r="AT170" i="1" s="1"/>
  <c r="AN188" i="1"/>
  <c r="AO188" i="1" s="1"/>
  <c r="AR188" i="1" s="1"/>
  <c r="AS188" i="1" s="1"/>
  <c r="AN27" i="1"/>
  <c r="AP27" i="1" s="1"/>
  <c r="AQ27" i="1" s="1"/>
  <c r="AT27" i="1" s="1"/>
  <c r="AN14" i="1"/>
  <c r="AO14" i="1" s="1"/>
  <c r="AR14" i="1" s="1"/>
  <c r="AS14" i="1" s="1"/>
  <c r="AN60" i="1"/>
  <c r="AP60" i="1" s="1"/>
  <c r="AQ60" i="1" s="1"/>
  <c r="AT60" i="1" s="1"/>
  <c r="AN110" i="1"/>
  <c r="AO110" i="1" s="1"/>
  <c r="AR110" i="1" s="1"/>
  <c r="AS110" i="1" s="1"/>
  <c r="AN116" i="1"/>
  <c r="AP116" i="1" s="1"/>
  <c r="AQ116" i="1" s="1"/>
  <c r="AT116" i="1" s="1"/>
  <c r="AN58" i="1"/>
  <c r="AO58" i="1" s="1"/>
  <c r="AR58" i="1" s="1"/>
  <c r="AS58" i="1" s="1"/>
  <c r="AN171" i="1"/>
  <c r="AO171" i="1" s="1"/>
  <c r="AR171" i="1" s="1"/>
  <c r="AS171" i="1" s="1"/>
  <c r="AN105" i="1"/>
  <c r="AP105" i="1" s="1"/>
  <c r="AQ105" i="1" s="1"/>
  <c r="AT105" i="1" s="1"/>
  <c r="AN21" i="1"/>
  <c r="AO21" i="1" s="1"/>
  <c r="AR21" i="1" s="1"/>
  <c r="AS21" i="1" s="1"/>
  <c r="AN64" i="1"/>
  <c r="AP64" i="1" s="1"/>
  <c r="AQ64" i="1" s="1"/>
  <c r="AT64" i="1" s="1"/>
  <c r="AN102" i="1"/>
  <c r="AP102" i="1" s="1"/>
  <c r="AQ102" i="1" s="1"/>
  <c r="AT102" i="1" s="1"/>
  <c r="AN79" i="1"/>
  <c r="AP79" i="1" s="1"/>
  <c r="AQ79" i="1" s="1"/>
  <c r="AT79" i="1" s="1"/>
  <c r="AN11" i="1"/>
  <c r="AO11" i="1" s="1"/>
  <c r="AR11" i="1" s="1"/>
  <c r="AS11" i="1" s="1"/>
  <c r="AN175" i="1"/>
  <c r="AP175" i="1" s="1"/>
  <c r="AQ175" i="1" s="1"/>
  <c r="AT175" i="1" s="1"/>
  <c r="AN133" i="1"/>
  <c r="AP133" i="1" s="1"/>
  <c r="AQ133" i="1" s="1"/>
  <c r="AT133" i="1" s="1"/>
  <c r="AN152" i="1"/>
  <c r="AO152" i="1" s="1"/>
  <c r="AR152" i="1" s="1"/>
  <c r="AS152" i="1" s="1"/>
  <c r="AN55" i="1"/>
  <c r="AO55" i="1" s="1"/>
  <c r="AR55" i="1" s="1"/>
  <c r="AS55" i="1" s="1"/>
  <c r="AN113" i="1"/>
  <c r="AO113" i="1" s="1"/>
  <c r="AR113" i="1" s="1"/>
  <c r="AS113" i="1" s="1"/>
  <c r="AN98" i="1"/>
  <c r="AO98" i="1" s="1"/>
  <c r="AR98" i="1" s="1"/>
  <c r="AS98" i="1" s="1"/>
  <c r="AN160" i="1"/>
  <c r="AO160" i="1" s="1"/>
  <c r="AR160" i="1" s="1"/>
  <c r="AS160" i="1" s="1"/>
  <c r="AN61" i="1"/>
  <c r="AP61" i="1" s="1"/>
  <c r="AQ61" i="1" s="1"/>
  <c r="AT61" i="1" s="1"/>
  <c r="AN130" i="1"/>
  <c r="AO130" i="1" s="1"/>
  <c r="AR130" i="1" s="1"/>
  <c r="AS130" i="1" s="1"/>
  <c r="AN57" i="1"/>
  <c r="AO57" i="1" s="1"/>
  <c r="AR57" i="1" s="1"/>
  <c r="AS57" i="1" s="1"/>
  <c r="AN131" i="1"/>
  <c r="AP131" i="1" s="1"/>
  <c r="AQ131" i="1" s="1"/>
  <c r="AT131" i="1" s="1"/>
  <c r="AN140" i="1"/>
  <c r="AO140" i="1" s="1"/>
  <c r="AR140" i="1" s="1"/>
  <c r="AS140" i="1" s="1"/>
  <c r="AN112" i="1"/>
  <c r="AO112" i="1" s="1"/>
  <c r="AR112" i="1" s="1"/>
  <c r="AS112" i="1" s="1"/>
  <c r="AN6" i="1"/>
  <c r="AP6" i="1" s="1"/>
  <c r="AQ6" i="1" s="1"/>
  <c r="AT6" i="1" s="1"/>
  <c r="AN23" i="1"/>
  <c r="AO23" i="1" s="1"/>
  <c r="AR23" i="1" s="1"/>
  <c r="AS23" i="1" s="1"/>
  <c r="AN190" i="1"/>
  <c r="AP190" i="1" s="1"/>
  <c r="AQ190" i="1" s="1"/>
  <c r="AT190" i="1" s="1"/>
  <c r="AN142" i="1"/>
  <c r="AO142" i="1" s="1"/>
  <c r="AR142" i="1" s="1"/>
  <c r="AS142" i="1" s="1"/>
  <c r="AN150" i="1"/>
  <c r="AO150" i="1" s="1"/>
  <c r="AR150" i="1" s="1"/>
  <c r="AS150" i="1" s="1"/>
  <c r="AN86" i="1"/>
  <c r="AP86" i="1" s="1"/>
  <c r="AQ86" i="1" s="1"/>
  <c r="AT86" i="1" s="1"/>
  <c r="AN186" i="1"/>
  <c r="AP186" i="1" s="1"/>
  <c r="AQ186" i="1" s="1"/>
  <c r="AT186" i="1" s="1"/>
  <c r="AN73" i="1"/>
  <c r="AP73" i="1" s="1"/>
  <c r="AQ73" i="1" s="1"/>
  <c r="AT73" i="1" s="1"/>
  <c r="AN84" i="1"/>
  <c r="AO84" i="1" s="1"/>
  <c r="AR84" i="1" s="1"/>
  <c r="AS84" i="1" s="1"/>
  <c r="AN40" i="1"/>
  <c r="AP40" i="1" s="1"/>
  <c r="AQ40" i="1" s="1"/>
  <c r="AT40" i="1" s="1"/>
  <c r="AN13" i="1"/>
  <c r="AO13" i="1" s="1"/>
  <c r="AR13" i="1" s="1"/>
  <c r="AS13" i="1" s="1"/>
  <c r="AN35" i="1"/>
  <c r="AO35" i="1" s="1"/>
  <c r="AR35" i="1" s="1"/>
  <c r="AS35" i="1" s="1"/>
  <c r="AN192" i="1"/>
  <c r="AP192" i="1" s="1"/>
  <c r="AQ192" i="1" s="1"/>
  <c r="AT192" i="1" s="1"/>
  <c r="AN103" i="1"/>
  <c r="AO103" i="1" s="1"/>
  <c r="AR103" i="1" s="1"/>
  <c r="AS103" i="1" s="1"/>
  <c r="AN145" i="1"/>
  <c r="AO145" i="1" s="1"/>
  <c r="AR145" i="1" s="1"/>
  <c r="AS145" i="1" s="1"/>
  <c r="AN196" i="1"/>
  <c r="AO196" i="1" s="1"/>
  <c r="AR196" i="1" s="1"/>
  <c r="AS196" i="1" s="1"/>
  <c r="AN189" i="1"/>
  <c r="AO189" i="1" s="1"/>
  <c r="AR189" i="1" s="1"/>
  <c r="AS189" i="1" s="1"/>
  <c r="AN146" i="1"/>
  <c r="AP146" i="1" s="1"/>
  <c r="AQ146" i="1" s="1"/>
  <c r="AT146" i="1" s="1"/>
  <c r="AN153" i="1"/>
  <c r="AP153" i="1" s="1"/>
  <c r="AQ153" i="1" s="1"/>
  <c r="AT153" i="1" s="1"/>
  <c r="AN195" i="1"/>
  <c r="AO195" i="1" s="1"/>
  <c r="AR195" i="1" s="1"/>
  <c r="AS195" i="1" s="1"/>
  <c r="AN76" i="1"/>
  <c r="AP76" i="1" s="1"/>
  <c r="AQ76" i="1" s="1"/>
  <c r="AT76" i="1" s="1"/>
  <c r="AN127" i="1"/>
  <c r="AO127" i="1" s="1"/>
  <c r="AR127" i="1" s="1"/>
  <c r="AS127" i="1" s="1"/>
  <c r="AN179" i="1"/>
  <c r="AP179" i="1" s="1"/>
  <c r="AQ179" i="1" s="1"/>
  <c r="AT179" i="1" s="1"/>
  <c r="AN107" i="1"/>
  <c r="AO107" i="1" s="1"/>
  <c r="AR107" i="1" s="1"/>
  <c r="AS107" i="1" s="1"/>
  <c r="AN139" i="1"/>
  <c r="AO139" i="1" s="1"/>
  <c r="AR139" i="1" s="1"/>
  <c r="AS139" i="1" s="1"/>
  <c r="AN106" i="1"/>
  <c r="AP106" i="1" s="1"/>
  <c r="AQ106" i="1" s="1"/>
  <c r="AT106" i="1" s="1"/>
  <c r="AN147" i="1"/>
  <c r="AP147" i="1" s="1"/>
  <c r="AQ147" i="1" s="1"/>
  <c r="AT147" i="1" s="1"/>
  <c r="AN118" i="1"/>
  <c r="AP118" i="1" s="1"/>
  <c r="AQ118" i="1" s="1"/>
  <c r="AT118" i="1" s="1"/>
  <c r="AN165" i="1"/>
  <c r="AP165" i="1" s="1"/>
  <c r="AQ165" i="1" s="1"/>
  <c r="AT165" i="1" s="1"/>
  <c r="AN38" i="1"/>
  <c r="AP38" i="1" s="1"/>
  <c r="AQ38" i="1" s="1"/>
  <c r="AT38" i="1" s="1"/>
  <c r="AN120" i="1"/>
  <c r="AO120" i="1" s="1"/>
  <c r="AR120" i="1" s="1"/>
  <c r="AS120" i="1" s="1"/>
  <c r="AN88" i="1"/>
  <c r="AO88" i="1" s="1"/>
  <c r="AR88" i="1" s="1"/>
  <c r="AS88" i="1" s="1"/>
  <c r="AN185" i="1"/>
  <c r="AP185" i="1" s="1"/>
  <c r="AQ185" i="1" s="1"/>
  <c r="AT185" i="1" s="1"/>
  <c r="AN136" i="1"/>
  <c r="AP136" i="1" s="1"/>
  <c r="AQ136" i="1" s="1"/>
  <c r="AT136" i="1" s="1"/>
  <c r="AN144" i="1"/>
  <c r="AP144" i="1" s="1"/>
  <c r="AQ144" i="1" s="1"/>
  <c r="AT144" i="1" s="1"/>
  <c r="AN122" i="1"/>
  <c r="AO122" i="1" s="1"/>
  <c r="AR122" i="1" s="1"/>
  <c r="AS122" i="1" s="1"/>
  <c r="AN115" i="1"/>
  <c r="AO115" i="1" s="1"/>
  <c r="AR115" i="1" s="1"/>
  <c r="AS115" i="1" s="1"/>
  <c r="AN161" i="1"/>
  <c r="AO161" i="1" s="1"/>
  <c r="AR161" i="1" s="1"/>
  <c r="AS161" i="1" s="1"/>
  <c r="AN183" i="1"/>
  <c r="AO183" i="1" s="1"/>
  <c r="AR183" i="1" s="1"/>
  <c r="AS183" i="1" s="1"/>
  <c r="AN89" i="1"/>
  <c r="AO89" i="1" s="1"/>
  <c r="AR89" i="1" s="1"/>
  <c r="AS89" i="1" s="1"/>
  <c r="AN30" i="1"/>
  <c r="AP30" i="1" s="1"/>
  <c r="AQ30" i="1" s="1"/>
  <c r="AT30" i="1" s="1"/>
  <c r="AN53" i="1"/>
  <c r="AO53" i="1" s="1"/>
  <c r="AR53" i="1" s="1"/>
  <c r="AS53" i="1" s="1"/>
  <c r="AN62" i="1"/>
  <c r="AO62" i="1" s="1"/>
  <c r="AR62" i="1" s="1"/>
  <c r="AS62" i="1" s="1"/>
  <c r="AN51" i="1"/>
  <c r="AO51" i="1" s="1"/>
  <c r="AR51" i="1" s="1"/>
  <c r="AS51" i="1" s="1"/>
  <c r="AN54" i="1"/>
  <c r="AO54" i="1" s="1"/>
  <c r="AR54" i="1" s="1"/>
  <c r="AS54" i="1" s="1"/>
  <c r="AN201" i="1"/>
  <c r="AP201" i="1" s="1"/>
  <c r="AQ201" i="1" s="1"/>
  <c r="AT201" i="1" s="1"/>
  <c r="AN81" i="1"/>
  <c r="AP81" i="1" s="1"/>
  <c r="AQ81" i="1" s="1"/>
  <c r="AT81" i="1" s="1"/>
  <c r="AN149" i="1"/>
  <c r="AO149" i="1" s="1"/>
  <c r="AR149" i="1" s="1"/>
  <c r="AS149" i="1" s="1"/>
  <c r="AN15" i="1"/>
  <c r="AP15" i="1" s="1"/>
  <c r="AQ15" i="1" s="1"/>
  <c r="AT15" i="1" s="1"/>
  <c r="AN197" i="1"/>
  <c r="AP197" i="1" s="1"/>
  <c r="AQ197" i="1" s="1"/>
  <c r="AT197" i="1" s="1"/>
  <c r="AN181" i="1"/>
  <c r="AO181" i="1" s="1"/>
  <c r="AR181" i="1" s="1"/>
  <c r="AS181" i="1" s="1"/>
  <c r="AN134" i="1"/>
  <c r="AP134" i="1" s="1"/>
  <c r="AQ134" i="1" s="1"/>
  <c r="AT134" i="1" s="1"/>
  <c r="AN108" i="1"/>
  <c r="AO108" i="1" s="1"/>
  <c r="AR108" i="1" s="1"/>
  <c r="AS108" i="1" s="1"/>
  <c r="AN138" i="1"/>
  <c r="AO138" i="1" s="1"/>
  <c r="AR138" i="1" s="1"/>
  <c r="AS138" i="1" s="1"/>
  <c r="AN66" i="1"/>
  <c r="AO66" i="1" s="1"/>
  <c r="AR66" i="1" s="1"/>
  <c r="AS66" i="1" s="1"/>
  <c r="AN117" i="1"/>
  <c r="AO117" i="1" s="1"/>
  <c r="AR117" i="1" s="1"/>
  <c r="AS117" i="1" s="1"/>
  <c r="AN199" i="1"/>
  <c r="AP199" i="1" s="1"/>
  <c r="AQ199" i="1" s="1"/>
  <c r="AT199" i="1" s="1"/>
  <c r="AN154" i="1"/>
  <c r="AO154" i="1" s="1"/>
  <c r="AR154" i="1" s="1"/>
  <c r="AS154" i="1" s="1"/>
  <c r="AN184" i="1"/>
  <c r="AP184" i="1" s="1"/>
  <c r="AQ184" i="1" s="1"/>
  <c r="AT184" i="1" s="1"/>
  <c r="AN91" i="1"/>
  <c r="AO91" i="1" s="1"/>
  <c r="AR91" i="1" s="1"/>
  <c r="AS91" i="1" s="1"/>
  <c r="AN119" i="1"/>
  <c r="AP119" i="1" s="1"/>
  <c r="AQ119" i="1" s="1"/>
  <c r="AT119" i="1" s="1"/>
  <c r="AN37" i="1"/>
  <c r="AO37" i="1" s="1"/>
  <c r="AR37" i="1" s="1"/>
  <c r="AS37" i="1" s="1"/>
  <c r="AN194" i="1"/>
  <c r="AP194" i="1" s="1"/>
  <c r="AQ194" i="1" s="1"/>
  <c r="AT194" i="1" s="1"/>
  <c r="AN114" i="1"/>
  <c r="AP114" i="1" s="1"/>
  <c r="AQ114" i="1" s="1"/>
  <c r="AT114" i="1" s="1"/>
  <c r="AN34" i="1"/>
  <c r="AO34" i="1" s="1"/>
  <c r="AR34" i="1" s="1"/>
  <c r="AS34" i="1" s="1"/>
  <c r="AN162" i="1"/>
  <c r="AP162" i="1" s="1"/>
  <c r="AQ162" i="1" s="1"/>
  <c r="AT162" i="1" s="1"/>
  <c r="AN50" i="1"/>
  <c r="AO50" i="1" s="1"/>
  <c r="AR50" i="1" s="1"/>
  <c r="AS50" i="1" s="1"/>
  <c r="AN48" i="1"/>
  <c r="AO48" i="1" s="1"/>
  <c r="AR48" i="1" s="1"/>
  <c r="AS48" i="1" s="1"/>
  <c r="AN137" i="1"/>
  <c r="AO137" i="1" s="1"/>
  <c r="AR137" i="1" s="1"/>
  <c r="AS137" i="1" s="1"/>
  <c r="AN174" i="1"/>
  <c r="AO174" i="1" s="1"/>
  <c r="AR174" i="1" s="1"/>
  <c r="AS174" i="1" s="1"/>
  <c r="AN75" i="1"/>
  <c r="AO75" i="1" s="1"/>
  <c r="AR75" i="1" s="1"/>
  <c r="AS75" i="1" s="1"/>
  <c r="AN18" i="1"/>
  <c r="AO18" i="1" s="1"/>
  <c r="AR18" i="1" s="1"/>
  <c r="AS18" i="1" s="1"/>
  <c r="AN25" i="1"/>
  <c r="AP25" i="1" s="1"/>
  <c r="AQ25" i="1" s="1"/>
  <c r="AT25" i="1" s="1"/>
  <c r="AN173" i="1"/>
  <c r="AO173" i="1" s="1"/>
  <c r="AR173" i="1" s="1"/>
  <c r="AS173" i="1" s="1"/>
  <c r="AN24" i="1"/>
  <c r="AO24" i="1" s="1"/>
  <c r="AR24" i="1" s="1"/>
  <c r="AS24" i="1" s="1"/>
  <c r="AO96" i="1"/>
  <c r="AR96" i="1" s="1"/>
  <c r="AS96" i="1" s="1"/>
  <c r="AP143" i="1"/>
  <c r="AQ143" i="1" s="1"/>
  <c r="AT143" i="1" s="1"/>
  <c r="AP180" i="1"/>
  <c r="AQ180" i="1" s="1"/>
  <c r="AT180" i="1" s="1"/>
  <c r="AO31" i="1"/>
  <c r="AR31" i="1" s="1"/>
  <c r="AS31" i="1" s="1"/>
  <c r="AP7" i="1"/>
  <c r="AQ7" i="1" s="1"/>
  <c r="AT7" i="1" s="1"/>
  <c r="AO176" i="1"/>
  <c r="AR176" i="1" s="1"/>
  <c r="AS176" i="1" s="1"/>
  <c r="AP155" i="1"/>
  <c r="AQ155" i="1" s="1"/>
  <c r="AT155" i="1" s="1"/>
  <c r="AO163" i="1"/>
  <c r="AR163" i="1" s="1"/>
  <c r="AS163" i="1" s="1"/>
  <c r="AP56" i="1"/>
  <c r="AQ56" i="1" s="1"/>
  <c r="AT56" i="1" s="1"/>
  <c r="AO5" i="1"/>
  <c r="AR5" i="1" s="1"/>
  <c r="AS5" i="1" s="1"/>
  <c r="AP101" i="1"/>
  <c r="AQ101" i="1" s="1"/>
  <c r="AT101" i="1" s="1"/>
  <c r="AP3" i="1"/>
  <c r="AQ3" i="1" s="1"/>
  <c r="AT3" i="1" s="1"/>
  <c r="AP100" i="1"/>
  <c r="AQ100" i="1" s="1"/>
  <c r="AT100" i="1" s="1"/>
  <c r="AP157" i="1"/>
  <c r="AQ157" i="1" s="1"/>
  <c r="AT157" i="1" s="1"/>
  <c r="AO157" i="1"/>
  <c r="AR157" i="1" s="1"/>
  <c r="AS157" i="1" s="1"/>
  <c r="AO190" i="1"/>
  <c r="AR190" i="1" s="1"/>
  <c r="AS190" i="1" s="1"/>
  <c r="AO83" i="1"/>
  <c r="AR83" i="1" s="1"/>
  <c r="AS83" i="1" s="1"/>
  <c r="AP83" i="1"/>
  <c r="AQ83" i="1" s="1"/>
  <c r="AT83" i="1" s="1"/>
  <c r="AO135" i="1"/>
  <c r="AR135" i="1" s="1"/>
  <c r="AS135" i="1" s="1"/>
  <c r="AP135" i="1"/>
  <c r="AQ135" i="1" s="1"/>
  <c r="AT135" i="1" s="1"/>
  <c r="AP44" i="1"/>
  <c r="AQ44" i="1" s="1"/>
  <c r="AT44" i="1" s="1"/>
  <c r="AO44" i="1"/>
  <c r="AR44" i="1" s="1"/>
  <c r="AS44" i="1" s="1"/>
  <c r="AO80" i="1"/>
  <c r="AR80" i="1" s="1"/>
  <c r="AS80" i="1" s="1"/>
  <c r="AP80" i="1"/>
  <c r="AQ80" i="1" s="1"/>
  <c r="AT80" i="1" s="1"/>
  <c r="AP92" i="1"/>
  <c r="AQ92" i="1" s="1"/>
  <c r="AT92" i="1" s="1"/>
  <c r="AO92" i="1"/>
  <c r="AR92" i="1" s="1"/>
  <c r="AS92" i="1" s="1"/>
  <c r="AO8" i="1"/>
  <c r="AR8" i="1" s="1"/>
  <c r="AS8" i="1" s="1"/>
  <c r="AP8" i="1"/>
  <c r="AQ8" i="1" s="1"/>
  <c r="AT8" i="1" s="1"/>
  <c r="AP148" i="1"/>
  <c r="AQ148" i="1" s="1"/>
  <c r="AT148" i="1" s="1"/>
  <c r="AP71" i="1"/>
  <c r="AQ71" i="1" s="1"/>
  <c r="AT71" i="1" s="1"/>
  <c r="AO63" i="1"/>
  <c r="AR63" i="1" s="1"/>
  <c r="AS63" i="1" s="1"/>
  <c r="AP182" i="1"/>
  <c r="AQ182" i="1" s="1"/>
  <c r="AT182" i="1" s="1"/>
  <c r="AO68" i="1"/>
  <c r="AR68" i="1" s="1"/>
  <c r="AS68" i="1" s="1"/>
  <c r="AO52" i="1"/>
  <c r="AR52" i="1" s="1"/>
  <c r="AS52" i="1" s="1"/>
  <c r="AP167" i="1"/>
  <c r="AQ167" i="1" s="1"/>
  <c r="AT167" i="1" s="1"/>
  <c r="AP93" i="1"/>
  <c r="AQ93" i="1" s="1"/>
  <c r="AT93" i="1" s="1"/>
  <c r="AP78" i="1"/>
  <c r="AQ78" i="1" s="1"/>
  <c r="AT78" i="1" s="1"/>
  <c r="AP121" i="1"/>
  <c r="AQ121" i="1" s="1"/>
  <c r="AT121" i="1" s="1"/>
  <c r="AO198" i="1"/>
  <c r="AR198" i="1" s="1"/>
  <c r="AS198" i="1" s="1"/>
  <c r="AP16" i="1"/>
  <c r="AQ16" i="1" s="1"/>
  <c r="AT16" i="1" s="1"/>
  <c r="AP9" i="1"/>
  <c r="AQ9" i="1" s="1"/>
  <c r="AT9" i="1" s="1"/>
  <c r="AO124" i="1"/>
  <c r="AR124" i="1" s="1"/>
  <c r="AS124" i="1" s="1"/>
  <c r="AO69" i="1"/>
  <c r="AR69" i="1" s="1"/>
  <c r="AS69" i="1" s="1"/>
  <c r="AP90" i="1"/>
  <c r="AQ90" i="1" s="1"/>
  <c r="AT90" i="1" s="1"/>
  <c r="AP65" i="1"/>
  <c r="AQ65" i="1" s="1"/>
  <c r="AT65" i="1" s="1"/>
  <c r="AO123" i="1"/>
  <c r="AR123" i="1" s="1"/>
  <c r="AS123" i="1" s="1"/>
  <c r="AO168" i="1"/>
  <c r="AR168" i="1" s="1"/>
  <c r="AS168" i="1" s="1"/>
  <c r="AO111" i="1"/>
  <c r="AR111" i="1" s="1"/>
  <c r="AS111" i="1" s="1"/>
  <c r="AO193" i="1"/>
  <c r="AR193" i="1" s="1"/>
  <c r="AS193" i="1" s="1"/>
  <c r="AO95" i="1"/>
  <c r="AR95" i="1" s="1"/>
  <c r="AS95" i="1" s="1"/>
  <c r="AO178" i="1"/>
  <c r="AR178" i="1" s="1"/>
  <c r="AS178" i="1" s="1"/>
  <c r="AP74" i="1"/>
  <c r="AQ74" i="1" s="1"/>
  <c r="AT74" i="1" s="1"/>
  <c r="AP99" i="1"/>
  <c r="AQ99" i="1" s="1"/>
  <c r="AT99" i="1" s="1"/>
  <c r="AO200" i="1"/>
  <c r="AR200" i="1" s="1"/>
  <c r="AS200" i="1" s="1"/>
  <c r="AO125" i="1"/>
  <c r="AR125" i="1" s="1"/>
  <c r="AS125" i="1" s="1"/>
  <c r="AO129" i="1"/>
  <c r="AR129" i="1" s="1"/>
  <c r="AS129" i="1" s="1"/>
  <c r="AO29" i="1"/>
  <c r="AR29" i="1" s="1"/>
  <c r="AS29" i="1" s="1"/>
  <c r="AO132" i="1"/>
  <c r="AR132" i="1" s="1"/>
  <c r="AS132" i="1" s="1"/>
  <c r="AO151" i="1"/>
  <c r="AR151" i="1" s="1"/>
  <c r="AS151" i="1" s="1"/>
  <c r="AO126" i="1"/>
  <c r="AR126" i="1" s="1"/>
  <c r="AS126" i="1" s="1"/>
  <c r="AO177" i="1"/>
  <c r="AR177" i="1" s="1"/>
  <c r="AS177" i="1" s="1"/>
  <c r="AP128" i="1"/>
  <c r="AQ128" i="1" s="1"/>
  <c r="AT128" i="1" s="1"/>
  <c r="AP45" i="1"/>
  <c r="AQ45" i="1" s="1"/>
  <c r="AT45" i="1" s="1"/>
  <c r="AP42" i="1"/>
  <c r="AQ42" i="1" s="1"/>
  <c r="AT42" i="1" s="1"/>
  <c r="AP85" i="1"/>
  <c r="AQ85" i="1" s="1"/>
  <c r="AT85" i="1" s="1"/>
  <c r="AO33" i="1"/>
  <c r="AR33" i="1" s="1"/>
  <c r="AS33" i="1" s="1"/>
  <c r="AP39" i="1"/>
  <c r="AQ39" i="1" s="1"/>
  <c r="AT39" i="1" s="1"/>
  <c r="AO39" i="1"/>
  <c r="AR39" i="1" s="1"/>
  <c r="AS39" i="1" s="1"/>
  <c r="AO156" i="1"/>
  <c r="AR156" i="1" s="1"/>
  <c r="AS156" i="1" s="1"/>
  <c r="AP156" i="1"/>
  <c r="AQ156" i="1" s="1"/>
  <c r="AT156" i="1" s="1"/>
  <c r="AP2" i="1"/>
  <c r="AQ2" i="1" s="1"/>
  <c r="AT2" i="1" s="1"/>
  <c r="AO2" i="1"/>
  <c r="AR2" i="1" s="1"/>
  <c r="AS2" i="1" s="1"/>
  <c r="AP28" i="1"/>
  <c r="AQ28" i="1" s="1"/>
  <c r="AT28" i="1" s="1"/>
  <c r="AO28" i="1"/>
  <c r="AR28" i="1" s="1"/>
  <c r="AS28" i="1" s="1"/>
  <c r="AP191" i="1" l="1"/>
  <c r="AQ191" i="1" s="1"/>
  <c r="AT191" i="1" s="1"/>
  <c r="AP141" i="1"/>
  <c r="AQ141" i="1" s="1"/>
  <c r="AT141" i="1" s="1"/>
  <c r="AP47" i="1"/>
  <c r="AQ47" i="1" s="1"/>
  <c r="AT47" i="1" s="1"/>
  <c r="AP66" i="1"/>
  <c r="AQ66" i="1" s="1"/>
  <c r="AT66" i="1" s="1"/>
  <c r="AP10" i="1"/>
  <c r="AQ10" i="1" s="1"/>
  <c r="AT10" i="1" s="1"/>
  <c r="AP12" i="1"/>
  <c r="AQ12" i="1" s="1"/>
  <c r="AT12" i="1" s="1"/>
  <c r="AO116" i="1"/>
  <c r="AR116" i="1" s="1"/>
  <c r="AS116" i="1" s="1"/>
  <c r="AO79" i="1"/>
  <c r="AR79" i="1" s="1"/>
  <c r="AS79" i="1" s="1"/>
  <c r="AO67" i="1"/>
  <c r="AR67" i="1" s="1"/>
  <c r="AS67" i="1" s="1"/>
  <c r="AP87" i="1"/>
  <c r="AQ87" i="1" s="1"/>
  <c r="AT87" i="1" s="1"/>
  <c r="AO17" i="1"/>
  <c r="AR17" i="1" s="1"/>
  <c r="AS17" i="1" s="1"/>
  <c r="AO82" i="1"/>
  <c r="AR82" i="1" s="1"/>
  <c r="AS82" i="1" s="1"/>
  <c r="AP11" i="1"/>
  <c r="AQ11" i="1" s="1"/>
  <c r="AT11" i="1" s="1"/>
  <c r="AP109" i="1"/>
  <c r="AQ109" i="1" s="1"/>
  <c r="AT109" i="1" s="1"/>
  <c r="AO27" i="1"/>
  <c r="AR27" i="1" s="1"/>
  <c r="AS27" i="1" s="1"/>
  <c r="AO70" i="1"/>
  <c r="AR70" i="1" s="1"/>
  <c r="AS70" i="1" s="1"/>
  <c r="AO133" i="1"/>
  <c r="AR133" i="1" s="1"/>
  <c r="AS133" i="1" s="1"/>
  <c r="AP55" i="1"/>
  <c r="AQ55" i="1" s="1"/>
  <c r="AT55" i="1" s="1"/>
  <c r="AO97" i="1"/>
  <c r="AR97" i="1" s="1"/>
  <c r="AS97" i="1" s="1"/>
  <c r="AP36" i="1"/>
  <c r="AQ36" i="1" s="1"/>
  <c r="AT36" i="1" s="1"/>
  <c r="AP46" i="1"/>
  <c r="AQ46" i="1" s="1"/>
  <c r="AT46" i="1" s="1"/>
  <c r="AO6" i="1"/>
  <c r="AR6" i="1" s="1"/>
  <c r="AS6" i="1" s="1"/>
  <c r="AO164" i="1"/>
  <c r="AR164" i="1" s="1"/>
  <c r="AS164" i="1" s="1"/>
  <c r="AP172" i="1"/>
  <c r="AQ172" i="1" s="1"/>
  <c r="AT172" i="1" s="1"/>
  <c r="AP159" i="1"/>
  <c r="AQ159" i="1" s="1"/>
  <c r="AT159" i="1" s="1"/>
  <c r="AP122" i="1"/>
  <c r="AQ122" i="1" s="1"/>
  <c r="AT122" i="1" s="1"/>
  <c r="AP195" i="1"/>
  <c r="AQ195" i="1" s="1"/>
  <c r="AT195" i="1" s="1"/>
  <c r="AP108" i="1"/>
  <c r="AQ108" i="1" s="1"/>
  <c r="AT108" i="1" s="1"/>
  <c r="AO20" i="1"/>
  <c r="AR20" i="1" s="1"/>
  <c r="AS20" i="1" s="1"/>
  <c r="AP158" i="1"/>
  <c r="AQ158" i="1" s="1"/>
  <c r="AT158" i="1" s="1"/>
  <c r="AO22" i="1"/>
  <c r="AR22" i="1" s="1"/>
  <c r="AS22" i="1" s="1"/>
  <c r="AO202" i="1"/>
  <c r="AR202" i="1" s="1"/>
  <c r="AS202" i="1" s="1"/>
  <c r="AP150" i="1"/>
  <c r="AQ150" i="1" s="1"/>
  <c r="AT150" i="1" s="1"/>
  <c r="AP41" i="1"/>
  <c r="AQ41" i="1" s="1"/>
  <c r="AT41" i="1" s="1"/>
  <c r="AO119" i="1"/>
  <c r="AR119" i="1" s="1"/>
  <c r="AS119" i="1" s="1"/>
  <c r="AO60" i="1"/>
  <c r="AR60" i="1" s="1"/>
  <c r="AS60" i="1" s="1"/>
  <c r="AO170" i="1"/>
  <c r="AR170" i="1" s="1"/>
  <c r="AS170" i="1" s="1"/>
  <c r="AO192" i="1"/>
  <c r="AR192" i="1" s="1"/>
  <c r="AS192" i="1" s="1"/>
  <c r="AO105" i="1"/>
  <c r="AR105" i="1" s="1"/>
  <c r="AS105" i="1" s="1"/>
  <c r="AP77" i="1"/>
  <c r="AQ77" i="1" s="1"/>
  <c r="AT77" i="1" s="1"/>
  <c r="AO59" i="1"/>
  <c r="AR59" i="1" s="1"/>
  <c r="AS59" i="1" s="1"/>
  <c r="AO72" i="1"/>
  <c r="AR72" i="1" s="1"/>
  <c r="AS72" i="1" s="1"/>
  <c r="AO43" i="1"/>
  <c r="AR43" i="1" s="1"/>
  <c r="AS43" i="1" s="1"/>
  <c r="AP160" i="1"/>
  <c r="AQ160" i="1" s="1"/>
  <c r="AT160" i="1" s="1"/>
  <c r="AP58" i="1"/>
  <c r="AQ58" i="1" s="1"/>
  <c r="AT58" i="1" s="1"/>
  <c r="AP48" i="1"/>
  <c r="AQ48" i="1" s="1"/>
  <c r="AT48" i="1" s="1"/>
  <c r="AP14" i="1"/>
  <c r="AQ14" i="1" s="1"/>
  <c r="AT14" i="1" s="1"/>
  <c r="AO106" i="1"/>
  <c r="AR106" i="1" s="1"/>
  <c r="AS106" i="1" s="1"/>
  <c r="AO187" i="1"/>
  <c r="AR187" i="1" s="1"/>
  <c r="AS187" i="1" s="1"/>
  <c r="AP19" i="1"/>
  <c r="AQ19" i="1" s="1"/>
  <c r="AT19" i="1" s="1"/>
  <c r="AO131" i="1"/>
  <c r="AR131" i="1" s="1"/>
  <c r="AS131" i="1" s="1"/>
  <c r="AP84" i="1"/>
  <c r="AQ84" i="1" s="1"/>
  <c r="AT84" i="1" s="1"/>
  <c r="AP98" i="1"/>
  <c r="AQ98" i="1" s="1"/>
  <c r="AT98" i="1" s="1"/>
  <c r="AP110" i="1"/>
  <c r="AQ110" i="1" s="1"/>
  <c r="AT110" i="1" s="1"/>
  <c r="AP26" i="1"/>
  <c r="AQ26" i="1" s="1"/>
  <c r="AT26" i="1" s="1"/>
  <c r="AO49" i="1"/>
  <c r="AR49" i="1" s="1"/>
  <c r="AS49" i="1" s="1"/>
  <c r="AP139" i="1"/>
  <c r="AQ139" i="1" s="1"/>
  <c r="AT139" i="1" s="1"/>
  <c r="AP32" i="1"/>
  <c r="AQ32" i="1" s="1"/>
  <c r="AT32" i="1" s="1"/>
  <c r="AO4" i="1"/>
  <c r="AR4" i="1" s="1"/>
  <c r="AS4" i="1" s="1"/>
  <c r="AP152" i="1"/>
  <c r="AQ152" i="1" s="1"/>
  <c r="AT152" i="1" s="1"/>
  <c r="AP94" i="1"/>
  <c r="AQ94" i="1" s="1"/>
  <c r="AT94" i="1" s="1"/>
  <c r="AP169" i="1"/>
  <c r="AQ169" i="1" s="1"/>
  <c r="AT169" i="1" s="1"/>
  <c r="AO102" i="1"/>
  <c r="AR102" i="1" s="1"/>
  <c r="AS102" i="1" s="1"/>
  <c r="AP104" i="1"/>
  <c r="AQ104" i="1" s="1"/>
  <c r="AT104" i="1" s="1"/>
  <c r="AP166" i="1"/>
  <c r="AQ166" i="1" s="1"/>
  <c r="AT166" i="1" s="1"/>
  <c r="AP37" i="1"/>
  <c r="AQ37" i="1" s="1"/>
  <c r="AT37" i="1" s="1"/>
  <c r="AO165" i="1"/>
  <c r="AR165" i="1" s="1"/>
  <c r="AS165" i="1" s="1"/>
  <c r="AP171" i="1"/>
  <c r="AQ171" i="1" s="1"/>
  <c r="AT171" i="1" s="1"/>
  <c r="AP188" i="1"/>
  <c r="AQ188" i="1" s="1"/>
  <c r="AT188" i="1" s="1"/>
  <c r="AP196" i="1"/>
  <c r="AQ196" i="1" s="1"/>
  <c r="AT196" i="1" s="1"/>
  <c r="AO114" i="1"/>
  <c r="AR114" i="1" s="1"/>
  <c r="AS114" i="1" s="1"/>
  <c r="AP51" i="1"/>
  <c r="AQ51" i="1" s="1"/>
  <c r="AT51" i="1" s="1"/>
  <c r="AO73" i="1"/>
  <c r="AR73" i="1" s="1"/>
  <c r="AS73" i="1" s="1"/>
  <c r="AP21" i="1"/>
  <c r="AQ21" i="1" s="1"/>
  <c r="AT21" i="1" s="1"/>
  <c r="AP145" i="1"/>
  <c r="AQ145" i="1" s="1"/>
  <c r="AT145" i="1" s="1"/>
  <c r="AP107" i="1"/>
  <c r="AQ107" i="1" s="1"/>
  <c r="AT107" i="1" s="1"/>
  <c r="AP120" i="1"/>
  <c r="AQ120" i="1" s="1"/>
  <c r="AT120" i="1" s="1"/>
  <c r="AP91" i="1"/>
  <c r="AQ91" i="1" s="1"/>
  <c r="AT91" i="1" s="1"/>
  <c r="AP113" i="1"/>
  <c r="AQ113" i="1" s="1"/>
  <c r="AT113" i="1" s="1"/>
  <c r="AO175" i="1"/>
  <c r="AR175" i="1" s="1"/>
  <c r="AS175" i="1" s="1"/>
  <c r="AO64" i="1"/>
  <c r="AR64" i="1" s="1"/>
  <c r="AS64" i="1" s="1"/>
  <c r="AP142" i="1"/>
  <c r="AQ142" i="1" s="1"/>
  <c r="AT142" i="1" s="1"/>
  <c r="AP140" i="1"/>
  <c r="AQ140" i="1" s="1"/>
  <c r="AT140" i="1" s="1"/>
  <c r="AP62" i="1"/>
  <c r="AQ62" i="1" s="1"/>
  <c r="AT62" i="1" s="1"/>
  <c r="AP149" i="1"/>
  <c r="AQ149" i="1" s="1"/>
  <c r="AT149" i="1" s="1"/>
  <c r="AO61" i="1"/>
  <c r="AR61" i="1" s="1"/>
  <c r="AS61" i="1" s="1"/>
  <c r="AP117" i="1"/>
  <c r="AQ117" i="1" s="1"/>
  <c r="AT117" i="1" s="1"/>
  <c r="AO118" i="1"/>
  <c r="AR118" i="1" s="1"/>
  <c r="AS118" i="1" s="1"/>
  <c r="AO134" i="1"/>
  <c r="AR134" i="1" s="1"/>
  <c r="AS134" i="1" s="1"/>
  <c r="AP130" i="1"/>
  <c r="AQ130" i="1" s="1"/>
  <c r="AT130" i="1" s="1"/>
  <c r="AP24" i="1"/>
  <c r="AQ24" i="1" s="1"/>
  <c r="AT24" i="1" s="1"/>
  <c r="AO199" i="1"/>
  <c r="AR199" i="1" s="1"/>
  <c r="AS199" i="1" s="1"/>
  <c r="AO185" i="1"/>
  <c r="AR185" i="1" s="1"/>
  <c r="AS185" i="1" s="1"/>
  <c r="AP189" i="1"/>
  <c r="AQ189" i="1" s="1"/>
  <c r="AT189" i="1" s="1"/>
  <c r="AO30" i="1"/>
  <c r="AR30" i="1" s="1"/>
  <c r="AS30" i="1" s="1"/>
  <c r="AP34" i="1"/>
  <c r="AQ34" i="1" s="1"/>
  <c r="AT34" i="1" s="1"/>
  <c r="AO15" i="1"/>
  <c r="AR15" i="1" s="1"/>
  <c r="AS15" i="1" s="1"/>
  <c r="AP23" i="1"/>
  <c r="AQ23" i="1" s="1"/>
  <c r="AT23" i="1" s="1"/>
  <c r="AP18" i="1"/>
  <c r="AQ18" i="1" s="1"/>
  <c r="AT18" i="1" s="1"/>
  <c r="AO146" i="1"/>
  <c r="AR146" i="1" s="1"/>
  <c r="AS146" i="1" s="1"/>
  <c r="AP103" i="1"/>
  <c r="AQ103" i="1" s="1"/>
  <c r="AT103" i="1" s="1"/>
  <c r="AO76" i="1"/>
  <c r="AR76" i="1" s="1"/>
  <c r="AS76" i="1" s="1"/>
  <c r="AP137" i="1"/>
  <c r="AQ137" i="1" s="1"/>
  <c r="AT137" i="1" s="1"/>
  <c r="AP112" i="1"/>
  <c r="AQ112" i="1" s="1"/>
  <c r="AT112" i="1" s="1"/>
  <c r="AO25" i="1"/>
  <c r="AR25" i="1" s="1"/>
  <c r="AS25" i="1" s="1"/>
  <c r="AP57" i="1"/>
  <c r="AQ57" i="1" s="1"/>
  <c r="AT57" i="1" s="1"/>
  <c r="AP35" i="1"/>
  <c r="AQ35" i="1" s="1"/>
  <c r="AT35" i="1" s="1"/>
  <c r="AP127" i="1"/>
  <c r="AQ127" i="1" s="1"/>
  <c r="AT127" i="1" s="1"/>
  <c r="AP54" i="1"/>
  <c r="AQ54" i="1" s="1"/>
  <c r="AT54" i="1" s="1"/>
  <c r="AP115" i="1"/>
  <c r="AQ115" i="1" s="1"/>
  <c r="AT115" i="1" s="1"/>
  <c r="AO186" i="1"/>
  <c r="AR186" i="1" s="1"/>
  <c r="AS186" i="1" s="1"/>
  <c r="AO153" i="1"/>
  <c r="AR153" i="1" s="1"/>
  <c r="AS153" i="1" s="1"/>
  <c r="AP13" i="1"/>
  <c r="AQ13" i="1" s="1"/>
  <c r="AT13" i="1" s="1"/>
  <c r="AO81" i="1"/>
  <c r="AR81" i="1" s="1"/>
  <c r="AS81" i="1" s="1"/>
  <c r="AO144" i="1"/>
  <c r="AR144" i="1" s="1"/>
  <c r="AS144" i="1" s="1"/>
  <c r="AO197" i="1"/>
  <c r="AR197" i="1" s="1"/>
  <c r="AS197" i="1" s="1"/>
  <c r="AO86" i="1"/>
  <c r="AR86" i="1" s="1"/>
  <c r="AS86" i="1" s="1"/>
  <c r="AP50" i="1"/>
  <c r="AQ50" i="1" s="1"/>
  <c r="AT50" i="1" s="1"/>
  <c r="AO184" i="1"/>
  <c r="AR184" i="1" s="1"/>
  <c r="AS184" i="1" s="1"/>
  <c r="AP183" i="1"/>
  <c r="AQ183" i="1" s="1"/>
  <c r="AT183" i="1" s="1"/>
  <c r="AO147" i="1"/>
  <c r="AR147" i="1" s="1"/>
  <c r="AS147" i="1" s="1"/>
  <c r="AP154" i="1"/>
  <c r="AQ154" i="1" s="1"/>
  <c r="AT154" i="1" s="1"/>
  <c r="AP75" i="1"/>
  <c r="AQ75" i="1" s="1"/>
  <c r="AT75" i="1" s="1"/>
  <c r="AP174" i="1"/>
  <c r="AQ174" i="1" s="1"/>
  <c r="AT174" i="1" s="1"/>
  <c r="AO194" i="1"/>
  <c r="AR194" i="1" s="1"/>
  <c r="AS194" i="1" s="1"/>
  <c r="AP181" i="1"/>
  <c r="AQ181" i="1" s="1"/>
  <c r="AT181" i="1" s="1"/>
  <c r="AO40" i="1"/>
  <c r="AR40" i="1" s="1"/>
  <c r="AS40" i="1" s="1"/>
  <c r="AO179" i="1"/>
  <c r="AR179" i="1" s="1"/>
  <c r="AS179" i="1" s="1"/>
  <c r="AO136" i="1"/>
  <c r="AR136" i="1" s="1"/>
  <c r="AS136" i="1" s="1"/>
  <c r="AP89" i="1"/>
  <c r="AQ89" i="1" s="1"/>
  <c r="AT89" i="1" s="1"/>
  <c r="AO38" i="1"/>
  <c r="AR38" i="1" s="1"/>
  <c r="AS38" i="1" s="1"/>
  <c r="AP53" i="1"/>
  <c r="AQ53" i="1" s="1"/>
  <c r="AT53" i="1" s="1"/>
  <c r="AP138" i="1"/>
  <c r="AQ138" i="1" s="1"/>
  <c r="AT138" i="1" s="1"/>
  <c r="AP161" i="1"/>
  <c r="AQ161" i="1" s="1"/>
  <c r="AT161" i="1" s="1"/>
  <c r="AP88" i="1"/>
  <c r="AQ88" i="1" s="1"/>
  <c r="AT88" i="1" s="1"/>
  <c r="AO162" i="1"/>
  <c r="AR162" i="1" s="1"/>
  <c r="AS162" i="1" s="1"/>
  <c r="AO201" i="1"/>
  <c r="AR201" i="1" s="1"/>
  <c r="AS201" i="1" s="1"/>
  <c r="AP173" i="1"/>
  <c r="AQ173" i="1" s="1"/>
  <c r="AT173" i="1" s="1"/>
</calcChain>
</file>

<file path=xl/comments1.xml><?xml version="1.0" encoding="utf-8"?>
<comments xmlns="http://schemas.openxmlformats.org/spreadsheetml/2006/main">
  <authors>
    <author>ffgd3d</author>
  </authors>
  <commentList>
    <comment ref="D24" authorId="0">
      <text>
        <r>
          <rPr>
            <b/>
            <sz val="8"/>
            <color indexed="81"/>
            <rFont val="Tahoma"/>
            <family val="2"/>
          </rPr>
          <t>Scales with square root of current unless switch size is changed.</t>
        </r>
      </text>
    </comment>
    <comment ref="C25" authorId="0">
      <text>
        <r>
          <rPr>
            <b/>
            <sz val="8"/>
            <color indexed="81"/>
            <rFont val="Tahoma"/>
            <family val="2"/>
          </rPr>
          <t>Adder to load scales with switch size.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Scales inversely with switch size.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Adder to load scales with switch size.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>Scales with VIN assuming the same impact from Cdiode, Miller C, Coss charge/discharge.
Scales inversely with switch size if driver also scaled since peak adder current prior to voltage rise is higher.</t>
        </r>
      </text>
    </comment>
    <comment ref="D27" authorId="0">
      <text>
        <r>
          <rPr>
            <b/>
            <sz val="8"/>
            <color indexed="81"/>
            <rFont val="Tahoma"/>
            <family val="2"/>
          </rPr>
          <t>No scaling with VIN or switch size.</t>
        </r>
      </text>
    </comment>
  </commentList>
</comments>
</file>

<file path=xl/sharedStrings.xml><?xml version="1.0" encoding="utf-8"?>
<sst xmlns="http://schemas.openxmlformats.org/spreadsheetml/2006/main" count="227" uniqueCount="164">
  <si>
    <t>DESIGN INPUTS</t>
  </si>
  <si>
    <t>Enter Values</t>
  </si>
  <si>
    <t>MAX INPUT VOLTAGE(Vin)</t>
  </si>
  <si>
    <t>MIN INPUT VOLTAGE(Vin)</t>
  </si>
  <si>
    <t>OUTPUT VOLTAGE(Vo)</t>
  </si>
  <si>
    <t>LOAD CURRENT(Io)</t>
  </si>
  <si>
    <t>SWITCHING FREQUENCY(Fsw)</t>
  </si>
  <si>
    <t>Tsw</t>
  </si>
  <si>
    <t>CROSSOVER FREQUENCY(Fc)</t>
  </si>
  <si>
    <t>HIGH SIDE MOSFET ON RESISTANCE(Rdson)</t>
  </si>
  <si>
    <t>LOW SIDE MOSFET ON RESISTANCE(Rdson)</t>
  </si>
  <si>
    <r>
      <t>ERROR AMPLIFIER TRANSCONDUCTANCE (g</t>
    </r>
    <r>
      <rPr>
        <b/>
        <sz val="6"/>
        <rFont val="Arial"/>
        <family val="2"/>
      </rPr>
      <t>M</t>
    </r>
    <r>
      <rPr>
        <b/>
        <sz val="10"/>
        <rFont val="Arial"/>
        <family val="2"/>
      </rPr>
      <t>)</t>
    </r>
  </si>
  <si>
    <t>Duty Cycle</t>
  </si>
  <si>
    <t>∆Vin or input ripple voltage</t>
  </si>
  <si>
    <t>Input Capacitor</t>
  </si>
  <si>
    <t>Input Capacitor RMS current</t>
  </si>
  <si>
    <t>Ro</t>
  </si>
  <si>
    <t>DCR (inductor resistance)</t>
  </si>
  <si>
    <t>OUTPUT CAPACITOR</t>
  </si>
  <si>
    <t>ESR of output capacitor</t>
  </si>
  <si>
    <t>Peak to Peak Ripple:capacitive component</t>
  </si>
  <si>
    <t>Peak to Peak Ripple:ESR component</t>
  </si>
  <si>
    <t>VOLTAGE DIVIDER NETWORK</t>
  </si>
  <si>
    <t>Actual Output Voltage</t>
  </si>
  <si>
    <t>COMPENSATION</t>
  </si>
  <si>
    <t>Suggested Cc</t>
  </si>
  <si>
    <t>Suggested Rc</t>
  </si>
  <si>
    <t>Suggested Cf</t>
  </si>
  <si>
    <t>Zero Location</t>
  </si>
  <si>
    <t>Pole Location</t>
  </si>
  <si>
    <t>D</t>
  </si>
  <si>
    <t>f</t>
  </si>
  <si>
    <t>s</t>
  </si>
  <si>
    <t>g1</t>
  </si>
  <si>
    <t>g2</t>
  </si>
  <si>
    <t>g3</t>
  </si>
  <si>
    <t>g4</t>
  </si>
  <si>
    <t>Vout(s)/Verr(s)</t>
  </si>
  <si>
    <t>|Vout(s)/Verr(s)|</t>
  </si>
  <si>
    <t>ang</t>
  </si>
  <si>
    <t>°</t>
  </si>
  <si>
    <t>db</t>
  </si>
  <si>
    <t>ota1</t>
  </si>
  <si>
    <t>ota2</t>
  </si>
  <si>
    <t>ota3</t>
  </si>
  <si>
    <t>g(s)</t>
  </si>
  <si>
    <t>|(g(s)|</t>
  </si>
  <si>
    <t>Gain At Frequency</t>
  </si>
  <si>
    <t>Minimum Frequency</t>
  </si>
  <si>
    <t>D'</t>
  </si>
  <si>
    <t>wn</t>
  </si>
  <si>
    <t>Maximum Frequency</t>
  </si>
  <si>
    <t>Tsw_</t>
  </si>
  <si>
    <t>Qp</t>
  </si>
  <si>
    <t>Mccm</t>
  </si>
  <si>
    <t>wz1</t>
  </si>
  <si>
    <t>Ω</t>
  </si>
  <si>
    <t>M</t>
  </si>
  <si>
    <t>Sn</t>
  </si>
  <si>
    <t>A/s</t>
  </si>
  <si>
    <t>wp1</t>
  </si>
  <si>
    <t>mc</t>
  </si>
  <si>
    <t>Rout</t>
  </si>
  <si>
    <t>Se</t>
  </si>
  <si>
    <t>Dmax</t>
  </si>
  <si>
    <t>Rsw_eq</t>
  </si>
  <si>
    <t>Cout</t>
  </si>
  <si>
    <t>Cesr</t>
  </si>
  <si>
    <t>OTA Parameters</t>
  </si>
  <si>
    <t>C0</t>
  </si>
  <si>
    <t>F</t>
  </si>
  <si>
    <t>R0</t>
  </si>
  <si>
    <t>Rotaesd</t>
  </si>
  <si>
    <t>gm</t>
  </si>
  <si>
    <t>wz1e</t>
  </si>
  <si>
    <t>wz2e</t>
  </si>
  <si>
    <t>wp1e</t>
  </si>
  <si>
    <t>wp2e</t>
  </si>
  <si>
    <t>comp_C1</t>
  </si>
  <si>
    <t>comp_C2</t>
  </si>
  <si>
    <t>L</t>
  </si>
  <si>
    <t>Vout</t>
  </si>
  <si>
    <t>N/A</t>
  </si>
  <si>
    <t>NOMINAL INPUT VOLTAGE</t>
  </si>
  <si>
    <t>INPUT CAPACITOR</t>
  </si>
  <si>
    <t>INDUCTOR CURRENT RIPPLE</t>
  </si>
  <si>
    <t>INDUCTOR</t>
  </si>
  <si>
    <t xml:space="preserve">∆ Load step </t>
  </si>
  <si>
    <t>OUTPUT VOLTAGE CHANGE(STEP LOAD) (%)</t>
  </si>
  <si>
    <t>∆Vout</t>
  </si>
  <si>
    <t>RFB2 (LOWER)</t>
  </si>
  <si>
    <t>RFB1 (UPPER)</t>
  </si>
  <si>
    <t>Values used</t>
  </si>
  <si>
    <t>Ri</t>
  </si>
  <si>
    <t>com_c1</t>
  </si>
  <si>
    <t>comp_c2</t>
  </si>
  <si>
    <t>Cout(output capacitance)</t>
  </si>
  <si>
    <t>Rload</t>
  </si>
  <si>
    <t>L(output Inductance)</t>
  </si>
  <si>
    <t>%</t>
  </si>
  <si>
    <t>V</t>
  </si>
  <si>
    <t>A</t>
  </si>
  <si>
    <t>Hz</t>
  </si>
  <si>
    <t xml:space="preserve">% </t>
  </si>
  <si>
    <t>S</t>
  </si>
  <si>
    <t>INPUT VOLTAGE RIPPLE</t>
  </si>
  <si>
    <t>Calculation</t>
  </si>
  <si>
    <t>MHz</t>
  </si>
  <si>
    <t>uF</t>
  </si>
  <si>
    <t>uH</t>
  </si>
  <si>
    <t>pF</t>
  </si>
  <si>
    <t>Note: There is a 18pF capacitor at the output of the OTA integrated in the IC, and if a larger capacitor needs to be used, please subtract this value from Cf.</t>
  </si>
  <si>
    <t>Note: The selected inductor value must be larger than the calculated value.  This design sheet is only for continuous conduction mode.</t>
  </si>
  <si>
    <t>NCV8901xx (1.2A 2MHz Buck Regulator)</t>
  </si>
  <si>
    <t>Worst Case Maximum Allowable Ambient Temperature</t>
  </si>
  <si>
    <t xml:space="preserve">Output Voltage: </t>
  </si>
  <si>
    <t xml:space="preserve">Output Current: </t>
  </si>
  <si>
    <t>Reference output current</t>
  </si>
  <si>
    <t xml:space="preserve">Switching Frequency: </t>
  </si>
  <si>
    <t>kHz</t>
  </si>
  <si>
    <t xml:space="preserve">Diode forward voltage: </t>
  </si>
  <si>
    <t>Rdson</t>
  </si>
  <si>
    <t xml:space="preserve">R theta j-a: </t>
  </si>
  <si>
    <t>°C/W</t>
  </si>
  <si>
    <t>BST LDO Load</t>
  </si>
  <si>
    <t>mA</t>
  </si>
  <si>
    <t>Iq</t>
  </si>
  <si>
    <t>Reference</t>
  </si>
  <si>
    <t>Input Voltage</t>
  </si>
  <si>
    <t>Operating Switching Frequency (kHz)</t>
  </si>
  <si>
    <t>=Vin+VD</t>
  </si>
  <si>
    <t>=0 to Load</t>
  </si>
  <si>
    <t>t1</t>
  </si>
  <si>
    <t>=Vin-1</t>
  </si>
  <si>
    <t>=Load to Load+0.4</t>
  </si>
  <si>
    <t>t2</t>
  </si>
  <si>
    <t>=Vin-1 to 1V</t>
  </si>
  <si>
    <t>=Load+0.4 to Load</t>
  </si>
  <si>
    <t>t3</t>
  </si>
  <si>
    <t>=0.5V</t>
  </si>
  <si>
    <t>=Load</t>
  </si>
  <si>
    <t>t4</t>
  </si>
  <si>
    <t>t1 switching loss</t>
  </si>
  <si>
    <t>t2 switching loss</t>
  </si>
  <si>
    <t>t3 switching loss</t>
  </si>
  <si>
    <t>t4 switching loss</t>
  </si>
  <si>
    <t>Switching Losses (W)</t>
  </si>
  <si>
    <t>Conduction losses (W)</t>
  </si>
  <si>
    <t>Total FET losses (W)</t>
  </si>
  <si>
    <t>Bootstrap LDO losses (W)</t>
  </si>
  <si>
    <t>Iq losses (W)</t>
  </si>
  <si>
    <t>Total Dissipation (W)</t>
  </si>
  <si>
    <t>Temp rise (°C)</t>
  </si>
  <si>
    <t>Max ambient (°C)</t>
  </si>
  <si>
    <t>Diode power dissipation (W)</t>
  </si>
  <si>
    <r>
      <t xml:space="preserve">This spreadsheet calculates the maximum ambient temperature which ensures that the junction temperature of the IC doesn't exceed 150°C in the worst case.
</t>
    </r>
    <r>
      <rPr>
        <b/>
        <i/>
        <sz val="8"/>
        <color indexed="8"/>
        <rFont val="Calibri"/>
        <family val="2"/>
      </rPr>
      <t xml:space="preserve">
</t>
    </r>
    <r>
      <rPr>
        <b/>
        <i/>
        <sz val="11"/>
        <color indexed="8"/>
        <rFont val="Calibri"/>
        <family val="2"/>
      </rPr>
      <t xml:space="preserve">Enter the output voltage, output current, switching frequency and Rtheta(j-a) of the application; and adjust the minimum and maximum input voltages. Use worst case values for a worst case result.
</t>
    </r>
    <r>
      <rPr>
        <b/>
        <i/>
        <sz val="8"/>
        <color indexed="8"/>
        <rFont val="Calibri"/>
        <family val="2"/>
      </rPr>
      <t xml:space="preserve">
</t>
    </r>
    <r>
      <rPr>
        <b/>
        <i/>
        <sz val="11"/>
        <color indexed="8"/>
        <rFont val="Calibri"/>
        <family val="2"/>
      </rPr>
      <t>The Bootstrap LDO losses can be excluded if an external 3.3 V bootstrap voltage source is used.</t>
    </r>
  </si>
  <si>
    <t>NCV89010x / NCV89020x min input voltage calculator</t>
  </si>
  <si>
    <t>rev. 0</t>
  </si>
  <si>
    <t xml:space="preserve">Calculates the Vin thresholds at which: </t>
  </si>
  <si>
    <t>Vout =</t>
  </si>
  <si>
    <t>Iout</t>
  </si>
  <si>
    <t>Vin min @ 2MHz</t>
  </si>
  <si>
    <t>Vin min (loss of reg)</t>
  </si>
  <si>
    <t>* note: the regulator shuts down when Vin is lower than 4.2 V typical (4.5 V max.)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</si>
</sst>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E+00"/>
    <numFmt numFmtId="165" formatCode="0.0000000"/>
    <numFmt numFmtId="166" formatCode="0.000"/>
    <numFmt numFmtId="167" formatCode="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6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1"/>
      <name val="돋움체"/>
      <family val="3"/>
      <charset val="129"/>
    </font>
    <font>
      <b/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sz val="11"/>
      <color theme="3"/>
      <name val="Calibri"/>
      <family val="2"/>
      <scheme val="minor"/>
    </font>
    <font>
      <sz val="10"/>
      <name val="Arial"/>
      <family val="2"/>
    </font>
    <font>
      <b/>
      <sz val="10"/>
      <color theme="3"/>
      <name val="Arial"/>
      <family val="2"/>
    </font>
    <font>
      <b/>
      <sz val="10"/>
      <color theme="6" tint="-0.499984740745262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b/>
      <i/>
      <sz val="11"/>
      <color indexed="8"/>
      <name val="Calibri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7F48C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>
      <protection locked="0"/>
    </xf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Protection="1">
      <protection locked="0"/>
    </xf>
    <xf numFmtId="0" fontId="0" fillId="0" borderId="0" xfId="3" applyFont="1" applyFill="1" applyProtection="1"/>
    <xf numFmtId="0" fontId="10" fillId="0" borderId="0" xfId="0" applyFont="1" applyAlignment="1">
      <alignment horizontal="center"/>
    </xf>
    <xf numFmtId="0" fontId="1" fillId="4" borderId="2" xfId="3" applyBorder="1" applyAlignment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4" borderId="2" xfId="3" applyBorder="1" applyAlignment="1" applyProtection="1">
      <alignment horizontal="center"/>
      <protection locked="0"/>
    </xf>
    <xf numFmtId="0" fontId="1" fillId="4" borderId="0" xfId="3" applyProtection="1"/>
    <xf numFmtId="0" fontId="5" fillId="0" borderId="0" xfId="0" applyFont="1" applyFill="1" applyBorder="1" applyAlignment="1" applyProtection="1">
      <alignment horizontal="center"/>
    </xf>
    <xf numFmtId="0" fontId="11" fillId="2" borderId="2" xfId="1" applyFont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4" fillId="2" borderId="2" xfId="1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2" applyNumberFormat="1" applyAlignment="1" applyProtection="1">
      <alignment horizontal="center"/>
    </xf>
    <xf numFmtId="0" fontId="3" fillId="3" borderId="4" xfId="2" applyNumberFormat="1" applyBorder="1" applyAlignment="1" applyProtection="1">
      <alignment horizontal="center"/>
    </xf>
    <xf numFmtId="0" fontId="3" fillId="3" borderId="5" xfId="2" applyNumberFormat="1" applyBorder="1" applyAlignment="1" applyProtection="1">
      <alignment horizontal="center"/>
    </xf>
    <xf numFmtId="0" fontId="3" fillId="3" borderId="3" xfId="2" applyNumberFormat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Protection="1"/>
    <xf numFmtId="0" fontId="0" fillId="0" borderId="0" xfId="0" applyAlignment="1" applyProtection="1"/>
    <xf numFmtId="0" fontId="6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11" fontId="0" fillId="0" borderId="0" xfId="0" applyNumberFormat="1" applyFill="1" applyBorder="1" applyAlignment="1" applyProtection="1">
      <alignment horizontal="center"/>
    </xf>
    <xf numFmtId="11" fontId="6" fillId="0" borderId="0" xfId="0" applyNumberFormat="1" applyFont="1" applyProtection="1"/>
    <xf numFmtId="0" fontId="0" fillId="0" borderId="0" xfId="0" applyFill="1" applyBorder="1" applyAlignment="1" applyProtection="1">
      <alignment horizontal="center"/>
    </xf>
    <xf numFmtId="0" fontId="6" fillId="0" borderId="0" xfId="0" applyNumberFormat="1" applyFont="1" applyProtection="1"/>
    <xf numFmtId="0" fontId="6" fillId="0" borderId="0" xfId="0" applyFont="1" applyAlignment="1" applyProtection="1"/>
    <xf numFmtId="0" fontId="9" fillId="0" borderId="0" xfId="0" applyFont="1" applyProtection="1"/>
    <xf numFmtId="164" fontId="0" fillId="0" borderId="0" xfId="0" applyNumberFormat="1" applyFill="1" applyBorder="1" applyAlignment="1" applyProtection="1">
      <alignment horizontal="center"/>
    </xf>
    <xf numFmtId="165" fontId="6" fillId="0" borderId="0" xfId="0" applyNumberFormat="1" applyFont="1" applyProtection="1"/>
    <xf numFmtId="0" fontId="0" fillId="0" borderId="0" xfId="0" applyNumberForma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2" fillId="2" borderId="2" xfId="1" applyBorder="1" applyAlignment="1" applyProtection="1">
      <alignment horizontal="center"/>
    </xf>
    <xf numFmtId="0" fontId="0" fillId="4" borderId="2" xfId="3" applyNumberFormat="1" applyFont="1" applyBorder="1" applyAlignment="1" applyProtection="1">
      <alignment horizontal="center"/>
      <protection locked="0"/>
    </xf>
    <xf numFmtId="0" fontId="3" fillId="3" borderId="1" xfId="2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5" borderId="1" xfId="2" applyFont="1" applyFill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right" vertical="center"/>
      <protection hidden="1"/>
    </xf>
    <xf numFmtId="0" fontId="16" fillId="6" borderId="2" xfId="0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0" fillId="0" borderId="0" xfId="0" quotePrefix="1" applyAlignment="1" applyProtection="1">
      <alignment vertical="center"/>
      <protection hidden="1"/>
    </xf>
    <xf numFmtId="0" fontId="0" fillId="0" borderId="0" xfId="0" quotePrefix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9" fontId="1" fillId="0" borderId="0" xfId="4" applyFont="1" applyAlignment="1" applyProtection="1">
      <alignment vertical="center"/>
      <protection hidden="1"/>
    </xf>
    <xf numFmtId="167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166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0" fillId="0" borderId="0" xfId="0" applyNumberFormat="1" applyFill="1" applyBorder="1" applyAlignment="1" applyProtection="1">
      <alignment horizontal="right" vertical="center"/>
      <protection hidden="1"/>
    </xf>
    <xf numFmtId="166" fontId="0" fillId="0" borderId="0" xfId="0" applyNumberFormat="1" applyFill="1" applyBorder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 vertical="center"/>
      <protection hidden="1"/>
    </xf>
    <xf numFmtId="0" fontId="16" fillId="6" borderId="16" xfId="0" applyFont="1" applyFill="1" applyBorder="1" applyAlignment="1" applyProtection="1">
      <alignment horizontal="center" vertical="center"/>
      <protection locked="0" hidden="1"/>
    </xf>
    <xf numFmtId="0" fontId="0" fillId="0" borderId="16" xfId="0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horizontal="right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2" fontId="0" fillId="0" borderId="17" xfId="0" applyNumberFormat="1" applyBorder="1" applyAlignment="1" applyProtection="1">
      <alignment horizontal="center" vertical="center"/>
      <protection hidden="1"/>
    </xf>
    <xf numFmtId="2" fontId="0" fillId="0" borderId="18" xfId="0" applyNumberForma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vertical="center"/>
      <protection hidden="1"/>
    </xf>
    <xf numFmtId="0" fontId="0" fillId="0" borderId="17" xfId="0" quotePrefix="1" applyBorder="1" applyAlignment="1" applyProtection="1">
      <alignment horizontal="center" vertical="center"/>
      <protection hidden="1"/>
    </xf>
    <xf numFmtId="0" fontId="0" fillId="0" borderId="0" xfId="0" quotePrefix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2" fontId="20" fillId="0" borderId="17" xfId="0" applyNumberFormat="1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167" fontId="0" fillId="0" borderId="18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166" fontId="0" fillId="0" borderId="17" xfId="0" applyNumberFormat="1" applyBorder="1" applyAlignment="1" applyProtection="1">
      <alignment horizontal="center" vertical="center"/>
      <protection hidden="1"/>
    </xf>
    <xf numFmtId="166" fontId="0" fillId="0" borderId="18" xfId="0" applyNumberForma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1" fontId="0" fillId="0" borderId="9" xfId="0" applyNumberFormat="1" applyBorder="1" applyAlignment="1" applyProtection="1">
      <alignment horizontal="center" vertical="center"/>
      <protection hidden="1"/>
    </xf>
    <xf numFmtId="1" fontId="0" fillId="0" borderId="20" xfId="0" applyNumberFormat="1" applyBorder="1" applyAlignment="1" applyProtection="1">
      <alignment horizontal="center" vertical="center"/>
      <protection hidden="1"/>
    </xf>
    <xf numFmtId="0" fontId="22" fillId="7" borderId="6" xfId="0" applyFont="1" applyFill="1" applyBorder="1" applyAlignment="1" applyProtection="1">
      <alignment horizontal="center" vertical="center"/>
      <protection hidden="1"/>
    </xf>
    <xf numFmtId="0" fontId="22" fillId="7" borderId="7" xfId="0" applyFont="1" applyFill="1" applyBorder="1" applyAlignment="1" applyProtection="1">
      <alignment horizontal="center" vertical="center"/>
      <protection hidden="1"/>
    </xf>
    <xf numFmtId="0" fontId="22" fillId="7" borderId="8" xfId="0" applyFont="1" applyFill="1" applyBorder="1" applyAlignment="1" applyProtection="1">
      <alignment horizontal="center" vertical="center"/>
      <protection hidden="1"/>
    </xf>
    <xf numFmtId="1" fontId="22" fillId="7" borderId="6" xfId="0" applyNumberFormat="1" applyFont="1" applyFill="1" applyBorder="1" applyAlignment="1" applyProtection="1">
      <alignment horizontal="center" vertical="center"/>
      <protection hidden="1"/>
    </xf>
    <xf numFmtId="1" fontId="22" fillId="7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1" fontId="5" fillId="0" borderId="7" xfId="0" applyNumberFormat="1" applyFont="1" applyBorder="1" applyAlignment="1" applyProtection="1">
      <alignment horizontal="center" vertical="center"/>
      <protection hidden="1"/>
    </xf>
    <xf numFmtId="1" fontId="5" fillId="0" borderId="12" xfId="0" applyNumberFormat="1" applyFont="1" applyBorder="1" applyAlignment="1" applyProtection="1">
      <alignment horizontal="center" vertical="center"/>
      <protection hidden="1"/>
    </xf>
    <xf numFmtId="0" fontId="23" fillId="0" borderId="9" xfId="0" applyFont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166" fontId="23" fillId="0" borderId="10" xfId="0" applyNumberFormat="1" applyFont="1" applyBorder="1" applyAlignment="1" applyProtection="1">
      <alignment horizontal="center" vertical="center"/>
      <protection hidden="1"/>
    </xf>
    <xf numFmtId="166" fontId="23" fillId="0" borderId="20" xfId="0" applyNumberFormat="1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8" borderId="0" xfId="0" applyFont="1" applyFill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</cellXfs>
  <cellStyles count="5">
    <cellStyle name="Calculation" xfId="2" builtinId="22"/>
    <cellStyle name="Good" xfId="1" builtinId="26"/>
    <cellStyle name="Normal" xfId="0" builtinId="0"/>
    <cellStyle name="ONInput" xfId="3"/>
    <cellStyle name="Percent" xfId="4" builtinId="5"/>
  </cellStyles>
  <dxfs count="1">
    <dxf>
      <font>
        <color theme="5" tint="-0.2499465926084170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Verr / Vout (Compensator)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186269310616249"/>
          <c:y val="0.14946716994325607"/>
          <c:w val="0.73143280969597613"/>
          <c:h val="0.753996898858871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'Design tool'!$AQ$1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tool'!$AQ$2:$AQ$202</c:f>
              <c:numCache>
                <c:formatCode>General</c:formatCode>
                <c:ptCount val="201"/>
                <c:pt idx="0">
                  <c:v>178.99720382079039</c:v>
                </c:pt>
                <c:pt idx="1">
                  <c:v>178.93360318715338</c:v>
                </c:pt>
                <c:pt idx="2">
                  <c:v>178.86597082360427</c:v>
                </c:pt>
                <c:pt idx="3">
                  <c:v>178.79405156485231</c:v>
                </c:pt>
                <c:pt idx="4">
                  <c:v>178.71757417973032</c:v>
                </c:pt>
                <c:pt idx="5">
                  <c:v>178.63625037653981</c:v>
                </c:pt>
                <c:pt idx="6">
                  <c:v>178.54977375025291</c:v>
                </c:pt>
                <c:pt idx="7">
                  <c:v>178.45781866888137</c:v>
                </c:pt>
                <c:pt idx="8">
                  <c:v>178.3600390963521</c:v>
                </c:pt>
                <c:pt idx="9">
                  <c:v>178.25606734930116</c:v>
                </c:pt>
                <c:pt idx="10">
                  <c:v>178.14551278532153</c:v>
                </c:pt>
                <c:pt idx="11">
                  <c:v>178.02796042038847</c:v>
                </c:pt>
                <c:pt idx="12">
                  <c:v>177.90296947345533</c:v>
                </c:pt>
                <c:pt idx="13">
                  <c:v>177.77007183658046</c:v>
                </c:pt>
                <c:pt idx="14">
                  <c:v>177.62877046943228</c:v>
                </c:pt>
                <c:pt idx="15">
                  <c:v>177.47853771765435</c:v>
                </c:pt>
                <c:pt idx="16">
                  <c:v>177.31881355538329</c:v>
                </c:pt>
                <c:pt idx="17">
                  <c:v>177.14900375323791</c:v>
                </c:pt>
                <c:pt idx="18">
                  <c:v>176.96847797438278</c:v>
                </c:pt>
                <c:pt idx="19">
                  <c:v>176.77656780286148</c:v>
                </c:pt>
                <c:pt idx="20">
                  <c:v>176.57256471036089</c:v>
                </c:pt>
                <c:pt idx="21">
                  <c:v>176.35571796997223</c:v>
                </c:pt>
                <c:pt idx="22">
                  <c:v>176.12523252844431</c:v>
                </c:pt>
                <c:pt idx="23">
                  <c:v>175.88026685197536</c:v>
                </c:pt>
                <c:pt idx="24">
                  <c:v>175.61993076486755</c:v>
                </c:pt>
                <c:pt idx="25">
                  <c:v>175.34328330550503</c:v>
                </c:pt>
                <c:pt idx="26">
                  <c:v>175.04933063024743</c:v>
                </c:pt>
                <c:pt idx="27">
                  <c:v>174.73702400311834</c:v>
                </c:pt>
                <c:pt idx="28">
                  <c:v>174.40525791778484</c:v>
                </c:pt>
                <c:pt idx="29">
                  <c:v>174.0528684084554</c:v>
                </c:pt>
                <c:pt idx="30">
                  <c:v>173.67863161816734</c:v>
                </c:pt>
                <c:pt idx="31">
                  <c:v>173.28126270668818</c:v>
                </c:pt>
                <c:pt idx="32">
                  <c:v>172.85941519610543</c:v>
                </c:pt>
                <c:pt idx="33">
                  <c:v>172.41168087029246</c:v>
                </c:pt>
                <c:pt idx="34">
                  <c:v>171.9365903649246</c:v>
                </c:pt>
                <c:pt idx="35">
                  <c:v>171.43261460761582</c:v>
                </c:pt>
                <c:pt idx="36">
                  <c:v>170.89816729295839</c:v>
                </c:pt>
                <c:pt idx="37">
                  <c:v>170.33160860451071</c:v>
                </c:pt>
                <c:pt idx="38">
                  <c:v>169.73125042455965</c:v>
                </c:pt>
                <c:pt idx="39">
                  <c:v>169.09536330193089</c:v>
                </c:pt>
                <c:pt idx="40">
                  <c:v>168.42218547691209</c:v>
                </c:pt>
                <c:pt idx="41">
                  <c:v>167.7099342886161</c:v>
                </c:pt>
                <c:pt idx="42">
                  <c:v>166.95682031125617</c:v>
                </c:pt>
                <c:pt idx="43">
                  <c:v>166.1610645784119</c:v>
                </c:pt>
                <c:pt idx="44">
                  <c:v>165.32091925406274</c:v>
                </c:pt>
                <c:pt idx="45">
                  <c:v>164.43469209055351</c:v>
                </c:pt>
                <c:pt idx="46">
                  <c:v>163.50077497034005</c:v>
                </c:pt>
                <c:pt idx="47">
                  <c:v>162.51767675307846</c:v>
                </c:pt>
                <c:pt idx="48">
                  <c:v>161.48406053464447</c:v>
                </c:pt>
                <c:pt idx="49">
                  <c:v>160.39878526240074</c:v>
                </c:pt>
                <c:pt idx="50">
                  <c:v>159.26095143504875</c:v>
                </c:pt>
                <c:pt idx="51">
                  <c:v>158.06995034180957</c:v>
                </c:pt>
                <c:pt idx="52">
                  <c:v>156.82551596493516</c:v>
                </c:pt>
                <c:pt idx="53">
                  <c:v>155.52777828850671</c:v>
                </c:pt>
                <c:pt idx="54">
                  <c:v>154.17731634062332</c:v>
                </c:pt>
                <c:pt idx="55">
                  <c:v>152.77520887131186</c:v>
                </c:pt>
                <c:pt idx="56">
                  <c:v>151.3230801721518</c:v>
                </c:pt>
                <c:pt idx="57">
                  <c:v>149.82313822389912</c:v>
                </c:pt>
                <c:pt idx="58">
                  <c:v>148.27820217146831</c:v>
                </c:pt>
                <c:pt idx="59">
                  <c:v>146.6917161300824</c:v>
                </c:pt>
                <c:pt idx="60">
                  <c:v>145.06774657469074</c:v>
                </c:pt>
                <c:pt idx="61">
                  <c:v>143.41096109276091</c:v>
                </c:pt>
                <c:pt idx="62">
                  <c:v>141.72658709635456</c:v>
                </c:pt>
                <c:pt idx="63">
                  <c:v>140.02035016404957</c:v>
                </c:pt>
                <c:pt idx="64">
                  <c:v>138.29839294613481</c:v>
                </c:pt>
                <c:pt idx="65">
                  <c:v>136.56717690792635</c:v>
                </c:pt>
                <c:pt idx="66">
                  <c:v>134.83337046826514</c:v>
                </c:pt>
                <c:pt idx="67">
                  <c:v>133.10372816633864</c:v>
                </c:pt>
                <c:pt idx="68">
                  <c:v>131.3849662270955</c:v>
                </c:pt>
                <c:pt idx="69">
                  <c:v>129.68364019847013</c:v>
                </c:pt>
                <c:pt idx="70">
                  <c:v>128.00603016228538</c:v>
                </c:pt>
                <c:pt idx="71">
                  <c:v>126.35803839783864</c:v>
                </c:pt>
                <c:pt idx="72">
                  <c:v>124.7451033840002</c:v>
                </c:pt>
                <c:pt idx="73">
                  <c:v>123.17213278666256</c:v>
                </c:pt>
                <c:pt idx="74">
                  <c:v>121.64345673901808</c:v>
                </c:pt>
                <c:pt idx="75">
                  <c:v>120.16280142489215</c:v>
                </c:pt>
                <c:pt idx="76">
                  <c:v>118.73328183922884</c:v>
                </c:pt>
                <c:pt idx="77">
                  <c:v>117.35741170702283</c:v>
                </c:pt>
                <c:pt idx="78">
                  <c:v>116.03712793288372</c:v>
                </c:pt>
                <c:pt idx="79">
                  <c:v>114.77382662956946</c:v>
                </c:pt>
                <c:pt idx="80">
                  <c:v>113.56840770599935</c:v>
                </c:pt>
                <c:pt idx="81">
                  <c:v>112.42132513453971</c:v>
                </c:pt>
                <c:pt idx="82">
                  <c:v>111.3326403058748</c:v>
                </c:pt>
                <c:pt idx="83">
                  <c:v>110.3020762600318</c:v>
                </c:pt>
                <c:pt idx="84">
                  <c:v>109.32907100326211</c:v>
                </c:pt>
                <c:pt idx="85">
                  <c:v>108.41282854198214</c:v>
                </c:pt>
                <c:pt idx="86">
                  <c:v>107.55236665774989</c:v>
                </c:pt>
                <c:pt idx="87">
                  <c:v>106.7465607930945</c:v>
                </c:pt>
                <c:pt idx="88">
                  <c:v>105.99418370779979</c:v>
                </c:pt>
                <c:pt idx="89">
                  <c:v>105.29394079698547</c:v>
                </c:pt>
                <c:pt idx="90">
                  <c:v>104.64450113884678</c:v>
                </c:pt>
                <c:pt idx="91">
                  <c:v>104.04452446709095</c:v>
                </c:pt>
                <c:pt idx="92">
                  <c:v>103.49268434828836</c:v>
                </c:pt>
                <c:pt idx="93">
                  <c:v>102.98768789530136</c:v>
                </c:pt>
                <c:pt idx="94">
                  <c:v>102.52829237206193</c:v>
                </c:pt>
                <c:pt idx="95">
                  <c:v>102.11331904887199</c:v>
                </c:pt>
                <c:pt idx="96">
                  <c:v>101.74166465673747</c:v>
                </c:pt>
                <c:pt idx="97">
                  <c:v>101.41231076863443</c:v>
                </c:pt>
                <c:pt idx="98">
                  <c:v>101.12433140864881</c:v>
                </c:pt>
                <c:pt idx="99">
                  <c:v>100.87689915938084</c:v>
                </c:pt>
                <c:pt idx="100">
                  <c:v>100.66929000583931</c:v>
                </c:pt>
                <c:pt idx="101">
                  <c:v>100.50088712163826</c:v>
                </c:pt>
                <c:pt idx="102">
                  <c:v>100.37118377152004</c:v>
                </c:pt>
                <c:pt idx="103">
                  <c:v>100.27978547355549</c:v>
                </c:pt>
                <c:pt idx="104">
                  <c:v>100.22641153500528</c:v>
                </c:pt>
                <c:pt idx="105">
                  <c:v>100.21089604775416</c:v>
                </c:pt>
                <c:pt idx="106">
                  <c:v>100.23318840227532</c:v>
                </c:pt>
                <c:pt idx="107">
                  <c:v>100.29335335296797</c:v>
                </c:pt>
                <c:pt idx="108">
                  <c:v>100.39157064209388</c:v>
                </c:pt>
                <c:pt idx="109">
                  <c:v>100.52813416403291</c:v>
                </c:pt>
                <c:pt idx="110">
                  <c:v>100.70345062579869</c:v>
                </c:pt>
                <c:pt idx="111">
                  <c:v>100.91803763332524</c:v>
                </c:pt>
                <c:pt idx="112">
                  <c:v>101.1725211056448</c:v>
                </c:pt>
                <c:pt idx="113">
                  <c:v>101.46763189047122</c:v>
                </c:pt>
                <c:pt idx="114">
                  <c:v>101.80420142478013</c:v>
                </c:pt>
                <c:pt idx="115">
                  <c:v>102.18315625278761</c:v>
                </c:pt>
                <c:pt idx="116">
                  <c:v>102.60551118159606</c:v>
                </c:pt>
                <c:pt idx="117">
                  <c:v>103.07236082231287</c:v>
                </c:pt>
                <c:pt idx="118">
                  <c:v>103.58486923273965</c:v>
                </c:pt>
                <c:pt idx="119">
                  <c:v>104.14425734836183</c:v>
                </c:pt>
                <c:pt idx="120">
                  <c:v>104.75178786364499</c:v>
                </c:pt>
                <c:pt idx="121">
                  <c:v>105.40874720862634</c:v>
                </c:pt>
                <c:pt idx="122">
                  <c:v>106.11642426052158</c:v>
                </c:pt>
                <c:pt idx="123">
                  <c:v>106.87608544156035</c:v>
                </c:pt>
                <c:pt idx="124">
                  <c:v>107.6889458886041</c:v>
                </c:pt>
                <c:pt idx="125">
                  <c:v>108.55613644425227</c:v>
                </c:pt>
                <c:pt idx="126">
                  <c:v>109.47866632074549</c:v>
                </c:pt>
                <c:pt idx="127">
                  <c:v>110.45738143470555</c:v>
                </c:pt>
                <c:pt idx="128">
                  <c:v>111.49291860952106</c:v>
                </c:pt>
                <c:pt idx="129">
                  <c:v>112.5856560978075</c:v>
                </c:pt>
                <c:pt idx="130">
                  <c:v>113.73566118992311</c:v>
                </c:pt>
                <c:pt idx="131">
                  <c:v>114.94263604132027</c:v>
                </c:pt>
                <c:pt idx="132">
                  <c:v>116.20586325893974</c:v>
                </c:pt>
                <c:pt idx="133">
                  <c:v>117.52415321231949</c:v>
                </c:pt>
                <c:pt idx="134">
                  <c:v>118.89579544480172</c:v>
                </c:pt>
                <c:pt idx="135">
                  <c:v>120.31851690907064</c:v>
                </c:pt>
                <c:pt idx="136">
                  <c:v>121.78944998508861</c:v>
                </c:pt>
                <c:pt idx="137">
                  <c:v>123.30511329867694</c:v>
                </c:pt>
                <c:pt idx="138">
                  <c:v>124.86140819012653</c:v>
                </c:pt>
                <c:pt idx="139">
                  <c:v>126.45363324218013</c:v>
                </c:pt>
                <c:pt idx="140">
                  <c:v>128.07651854779368</c:v>
                </c:pt>
                <c:pt idx="141">
                  <c:v>129.72428039710849</c:v>
                </c:pt>
                <c:pt idx="142">
                  <c:v>131.39069584786085</c:v>
                </c:pt>
                <c:pt idx="143">
                  <c:v>133.06919531248849</c:v>
                </c:pt>
                <c:pt idx="144">
                  <c:v>134.75296997933728</c:v>
                </c:pt>
                <c:pt idx="145">
                  <c:v>136.43508973107387</c:v>
                </c:pt>
                <c:pt idx="146">
                  <c:v>138.10862637042877</c:v>
                </c:pt>
                <c:pt idx="147">
                  <c:v>139.7667765206636</c:v>
                </c:pt>
                <c:pt idx="148">
                  <c:v>141.40297859399223</c:v>
                </c:pt>
                <c:pt idx="149">
                  <c:v>143.01101871218702</c:v>
                </c:pt>
                <c:pt idx="150">
                  <c:v>144.58512135517904</c:v>
                </c:pt>
                <c:pt idx="151">
                  <c:v>146.1200216923267</c:v>
                </c:pt>
                <c:pt idx="152">
                  <c:v>147.61101787548674</c:v>
                </c:pt>
                <c:pt idx="153">
                  <c:v>149.05400289733157</c:v>
                </c:pt>
                <c:pt idx="154">
                  <c:v>150.44547681446883</c:v>
                </c:pt>
                <c:pt idx="155">
                  <c:v>151.78254110855221</c:v>
                </c:pt>
                <c:pt idx="156">
                  <c:v>153.062877656442</c:v>
                </c:pt>
                <c:pt idx="157">
                  <c:v>154.28471518992438</c:v>
                </c:pt>
                <c:pt idx="158">
                  <c:v>155.44678626739102</c:v>
                </c:pt>
                <c:pt idx="159">
                  <c:v>156.54827769834083</c:v>
                </c:pt>
                <c:pt idx="160">
                  <c:v>157.58877711282835</c:v>
                </c:pt>
                <c:pt idx="161">
                  <c:v>158.56821801047704</c:v>
                </c:pt>
                <c:pt idx="162">
                  <c:v>159.48682521082256</c:v>
                </c:pt>
                <c:pt idx="163">
                  <c:v>160.34506220249273</c:v>
                </c:pt>
                <c:pt idx="164">
                  <c:v>161.14358148563667</c:v>
                </c:pt>
                <c:pt idx="165">
                  <c:v>161.88317864156457</c:v>
                </c:pt>
                <c:pt idx="166">
                  <c:v>162.56475055743445</c:v>
                </c:pt>
                <c:pt idx="167">
                  <c:v>163.18925798601046</c:v>
                </c:pt>
                <c:pt idx="168">
                  <c:v>163.75769242952234</c:v>
                </c:pt>
                <c:pt idx="169">
                  <c:v>164.27104719738563</c:v>
                </c:pt>
                <c:pt idx="170">
                  <c:v>164.73029239304751</c:v>
                </c:pt>
                <c:pt idx="171">
                  <c:v>165.13635352784522</c:v>
                </c:pt>
                <c:pt idx="172">
                  <c:v>165.490093432024</c:v>
                </c:pt>
                <c:pt idx="173">
                  <c:v>165.79229712815959</c:v>
                </c:pt>
                <c:pt idx="174">
                  <c:v>166.04365934431607</c:v>
                </c:pt>
                <c:pt idx="175">
                  <c:v>166.24477436853468</c:v>
                </c:pt>
                <c:pt idx="176">
                  <c:v>166.39612797891118</c:v>
                </c:pt>
                <c:pt idx="177">
                  <c:v>166.49809122170421</c:v>
                </c:pt>
                <c:pt idx="178">
                  <c:v>166.55091585154287</c:v>
                </c:pt>
                <c:pt idx="179">
                  <c:v>166.55473129144411</c:v>
                </c:pt>
                <c:pt idx="180">
                  <c:v>166.50954301507713</c:v>
                </c:pt>
                <c:pt idx="181">
                  <c:v>166.41523229895031</c:v>
                </c:pt>
                <c:pt idx="182">
                  <c:v>166.27155733766494</c:v>
                </c:pt>
                <c:pt idx="183">
                  <c:v>166.07815576084749</c:v>
                </c:pt>
                <c:pt idx="184">
                  <c:v>165.83454863571114</c:v>
                </c:pt>
                <c:pt idx="185">
                  <c:v>165.54014608411393</c:v>
                </c:pt>
                <c:pt idx="186">
                  <c:v>165.1942546870109</c:v>
                </c:pt>
                <c:pt idx="187">
                  <c:v>164.79608689153596</c:v>
                </c:pt>
                <c:pt idx="188">
                  <c:v>164.3447726753206</c:v>
                </c:pt>
                <c:pt idx="189">
                  <c:v>163.83937375719094</c:v>
                </c:pt>
                <c:pt idx="190">
                  <c:v>163.27890067045001</c:v>
                </c:pt>
                <c:pt idx="191">
                  <c:v>162.66233303106202</c:v>
                </c:pt>
                <c:pt idx="192">
                  <c:v>161.98864333368152</c:v>
                </c:pt>
                <c:pt idx="193">
                  <c:v>161.25682458808865</c:v>
                </c:pt>
                <c:pt idx="194">
                  <c:v>160.46592206065441</c:v>
                </c:pt>
                <c:pt idx="195">
                  <c:v>159.61506930264332</c:v>
                </c:pt>
                <c:pt idx="196">
                  <c:v>158.70352852179047</c:v>
                </c:pt>
                <c:pt idx="197">
                  <c:v>157.73073517839666</c:v>
                </c:pt>
                <c:pt idx="198">
                  <c:v>156.69634645638936</c:v>
                </c:pt>
                <c:pt idx="199">
                  <c:v>155.60029297063789</c:v>
                </c:pt>
                <c:pt idx="200">
                  <c:v>154.44283272645839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56640"/>
        <c:axId val="45093248"/>
      </c:scatterChart>
      <c:valAx>
        <c:axId val="6945664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093248"/>
        <c:crosses val="autoZero"/>
        <c:crossBetween val="midCat"/>
      </c:valAx>
      <c:valAx>
        <c:axId val="45093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4566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|Verr / Vout| (Compensator)</a:t>
            </a:r>
          </a:p>
        </c:rich>
      </c:tx>
      <c:layout>
        <c:manualLayout>
          <c:xMode val="edge"/>
          <c:yMode val="edge"/>
          <c:x val="0.23478889435194419"/>
          <c:y val="9.49421862807689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76933299042585"/>
          <c:y val="0.14376014636628506"/>
          <c:w val="0.71896987774062171"/>
          <c:h val="0.68947028910838004"/>
        </c:manualLayout>
      </c:layout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tool'!$AR$2:$AR$201</c:f>
              <c:numCache>
                <c:formatCode>General</c:formatCode>
                <c:ptCount val="200"/>
                <c:pt idx="0">
                  <c:v>50.529832754077347</c:v>
                </c:pt>
                <c:pt idx="1">
                  <c:v>50.529655831080333</c:v>
                </c:pt>
                <c:pt idx="2">
                  <c:v>50.529455757537676</c:v>
                </c:pt>
                <c:pt idx="3">
                  <c:v>50.529229505463263</c:v>
                </c:pt>
                <c:pt idx="4">
                  <c:v>50.528973651182142</c:v>
                </c:pt>
                <c:pt idx="5">
                  <c:v>50.528684323723567</c:v>
                </c:pt>
                <c:pt idx="6">
                  <c:v>50.528357146509641</c:v>
                </c:pt>
                <c:pt idx="7">
                  <c:v>50.527987171479424</c:v>
                </c:pt>
                <c:pt idx="8">
                  <c:v>50.527568804673976</c:v>
                </c:pt>
                <c:pt idx="9">
                  <c:v>50.527095722191163</c:v>
                </c:pt>
                <c:pt idx="10">
                  <c:v>50.526560775277723</c:v>
                </c:pt>
                <c:pt idx="11">
                  <c:v>50.525955883176664</c:v>
                </c:pt>
                <c:pt idx="12">
                  <c:v>50.525271912176407</c:v>
                </c:pt>
                <c:pt idx="13">
                  <c:v>50.524498539118682</c:v>
                </c:pt>
                <c:pt idx="14">
                  <c:v>50.523624097411513</c:v>
                </c:pt>
                <c:pt idx="15">
                  <c:v>50.522635403360468</c:v>
                </c:pt>
                <c:pt idx="16">
                  <c:v>50.521517560372509</c:v>
                </c:pt>
                <c:pt idx="17">
                  <c:v>50.520253738304461</c:v>
                </c:pt>
                <c:pt idx="18">
                  <c:v>50.51882492491491</c:v>
                </c:pt>
                <c:pt idx="19">
                  <c:v>50.517209646040996</c:v>
                </c:pt>
                <c:pt idx="20">
                  <c:v>50.515383650751659</c:v>
                </c:pt>
                <c:pt idx="21">
                  <c:v>50.513319557335052</c:v>
                </c:pt>
                <c:pt idx="22">
                  <c:v>50.51098645555146</c:v>
                </c:pt>
                <c:pt idx="23">
                  <c:v>50.508349460143968</c:v>
                </c:pt>
                <c:pt idx="24">
                  <c:v>50.505369210127128</c:v>
                </c:pt>
                <c:pt idx="25">
                  <c:v>50.502001307907719</c:v>
                </c:pt>
                <c:pt idx="26">
                  <c:v>50.498195691817422</c:v>
                </c:pt>
                <c:pt idx="27">
                  <c:v>50.493895935181371</c:v>
                </c:pt>
                <c:pt idx="28">
                  <c:v>50.489038464640082</c:v>
                </c:pt>
                <c:pt idx="29">
                  <c:v>50.483551690093059</c:v>
                </c:pt>
                <c:pt idx="30">
                  <c:v>50.477355038403161</c:v>
                </c:pt>
                <c:pt idx="31">
                  <c:v>50.470357882924432</c:v>
                </c:pt>
                <c:pt idx="32">
                  <c:v>50.462458361065302</c:v>
                </c:pt>
                <c:pt idx="33">
                  <c:v>50.453542072548991</c:v>
                </c:pt>
                <c:pt idx="34">
                  <c:v>50.443480651887782</c:v>
                </c:pt>
                <c:pt idx="35">
                  <c:v>50.432130209963404</c:v>
                </c:pt>
                <c:pt idx="36">
                  <c:v>50.419329641650691</c:v>
                </c:pt>
                <c:pt idx="37">
                  <c:v>50.404898799303822</c:v>
                </c:pt>
                <c:pt idx="38">
                  <c:v>50.388636535845926</c:v>
                </c:pt>
                <c:pt idx="39">
                  <c:v>50.370318626377326</c:v>
                </c:pt>
                <c:pt idx="40">
                  <c:v>50.349695583891865</c:v>
                </c:pt>
                <c:pt idx="41">
                  <c:v>50.326490393104713</c:v>
                </c:pt>
                <c:pt idx="42">
                  <c:v>50.300396196788775</c:v>
                </c:pt>
                <c:pt idx="43">
                  <c:v>50.271073981584031</c:v>
                </c:pt>
                <c:pt idx="44">
                  <c:v>50.238150325105764</c:v>
                </c:pt>
                <c:pt idx="45">
                  <c:v>50.201215283323741</c:v>
                </c:pt>
                <c:pt idx="46">
                  <c:v>50.159820516394895</c:v>
                </c:pt>
                <c:pt idx="47">
                  <c:v>50.113477771922561</c:v>
                </c:pt>
                <c:pt idx="48">
                  <c:v>50.061657866104603</c:v>
                </c:pt>
                <c:pt idx="49">
                  <c:v>50.003790324074913</c:v>
                </c:pt>
                <c:pt idx="50">
                  <c:v>49.939263859031882</c:v>
                </c:pt>
                <c:pt idx="51">
                  <c:v>49.867427882963433</c:v>
                </c:pt>
                <c:pt idx="52">
                  <c:v>49.787595246810724</c:v>
                </c:pt>
                <c:pt idx="53">
                  <c:v>49.699046401176034</c:v>
                </c:pt>
                <c:pt idx="54">
                  <c:v>49.601035146380632</c:v>
                </c:pt>
                <c:pt idx="55">
                  <c:v>49.492796099243051</c:v>
                </c:pt>
                <c:pt idx="56">
                  <c:v>49.373553940668856</c:v>
                </c:pt>
                <c:pt idx="57">
                  <c:v>49.242534421914925</c:v>
                </c:pt>
                <c:pt idx="58">
                  <c:v>49.098976999613996</c:v>
                </c:pt>
                <c:pt idx="59">
                  <c:v>48.942148844914151</c:v>
                </c:pt>
                <c:pt idx="60">
                  <c:v>48.771359838718034</c:v>
                </c:pt>
                <c:pt idx="61">
                  <c:v>48.585978034914291</c:v>
                </c:pt>
                <c:pt idx="62">
                  <c:v>48.385444961411508</c:v>
                </c:pt>
                <c:pt idx="63">
                  <c:v>48.169290050596999</c:v>
                </c:pt>
                <c:pt idx="64">
                  <c:v>47.937143461269883</c:v>
                </c:pt>
                <c:pt idx="65">
                  <c:v>47.688746583895792</c:v>
                </c:pt>
                <c:pt idx="66">
                  <c:v>47.423959614526865</c:v>
                </c:pt>
                <c:pt idx="67">
                  <c:v>47.142765735980454</c:v>
                </c:pt>
                <c:pt idx="68">
                  <c:v>46.845271645437435</c:v>
                </c:pt>
                <c:pt idx="69">
                  <c:v>46.531704395776657</c:v>
                </c:pt>
                <c:pt idx="70">
                  <c:v>46.202404749633757</c:v>
                </c:pt>
                <c:pt idx="71">
                  <c:v>45.857817455708485</c:v>
                </c:pt>
                <c:pt idx="72">
                  <c:v>45.498479024961114</c:v>
                </c:pt>
                <c:pt idx="73">
                  <c:v>45.125003695349633</c:v>
                </c:pt>
                <c:pt idx="74">
                  <c:v>44.738068321311744</c:v>
                </c:pt>
                <c:pt idx="75">
                  <c:v>44.338396910416229</c:v>
                </c:pt>
                <c:pt idx="76">
                  <c:v>43.926745463698332</c:v>
                </c:pt>
                <c:pt idx="77">
                  <c:v>43.50388767203134</c:v>
                </c:pt>
                <c:pt idx="78">
                  <c:v>43.070601894302854</c:v>
                </c:pt>
                <c:pt idx="79">
                  <c:v>42.627659709407418</c:v>
                </c:pt>
                <c:pt idx="80">
                  <c:v>42.175816205969213</c:v>
                </c:pt>
                <c:pt idx="81">
                  <c:v>41.715802060613932</c:v>
                </c:pt>
                <c:pt idx="82">
                  <c:v>41.248317363146768</c:v>
                </c:pt>
                <c:pt idx="83">
                  <c:v>40.774027077378179</c:v>
                </c:pt>
                <c:pt idx="84">
                  <c:v>40.293557979082976</c:v>
                </c:pt>
                <c:pt idx="85">
                  <c:v>39.807496885353707</c:v>
                </c:pt>
                <c:pt idx="86">
                  <c:v>39.316389978992319</c:v>
                </c:pt>
                <c:pt idx="87">
                  <c:v>38.820743033820634</c:v>
                </c:pt>
                <c:pt idx="88">
                  <c:v>38.321022358177544</c:v>
                </c:pt>
                <c:pt idx="89">
                  <c:v>37.817656291167808</c:v>
                </c:pt>
                <c:pt idx="90">
                  <c:v>37.311037106734645</c:v>
                </c:pt>
                <c:pt idx="91">
                  <c:v>36.80152320228067</c:v>
                </c:pt>
                <c:pt idx="92">
                  <c:v>36.289441469853102</c:v>
                </c:pt>
                <c:pt idx="93">
                  <c:v>35.775089767853764</c:v>
                </c:pt>
                <c:pt idx="94">
                  <c:v>35.258739429243505</c:v>
                </c:pt>
                <c:pt idx="95">
                  <c:v>34.740637757989205</c:v>
                </c:pt>
                <c:pt idx="96">
                  <c:v>34.221010479010417</c:v>
                </c:pt>
                <c:pt idx="97">
                  <c:v>33.70006411819702</c:v>
                </c:pt>
                <c:pt idx="98">
                  <c:v>33.177988298372512</c:v>
                </c:pt>
                <c:pt idx="99">
                  <c:v>32.654957944602828</c:v>
                </c:pt>
                <c:pt idx="100">
                  <c:v>32.131135398232551</c:v>
                </c:pt>
                <c:pt idx="101">
                  <c:v>31.606672443721031</c:v>
                </c:pt>
                <c:pt idx="102">
                  <c:v>31.081712255959431</c:v>
                </c:pt>
                <c:pt idx="103">
                  <c:v>30.556391278481097</c:v>
                </c:pt>
                <c:pt idx="104">
                  <c:v>30.030841045002383</c:v>
                </c:pt>
                <c:pt idx="105">
                  <c:v>29.505189958173268</c:v>
                </c:pt>
                <c:pt idx="106">
                  <c:v>28.979565040401461</c:v>
                </c:pt>
                <c:pt idx="107">
                  <c:v>28.454093672203658</c:v>
                </c:pt>
                <c:pt idx="108">
                  <c:v>27.928905333789725</c:v>
                </c:pt>
                <c:pt idx="109">
                  <c:v>27.404133365521037</c:v>
                </c:pt>
                <c:pt idx="110">
                  <c:v>26.879916762491831</c:v>
                </c:pt>
                <c:pt idx="111">
                  <c:v>26.356402017742553</c:v>
                </c:pt>
                <c:pt idx="112">
                  <c:v>25.833745027442738</c:v>
                </c:pt>
                <c:pt idx="113">
                  <c:v>25.312113069717618</c:v>
                </c:pt>
                <c:pt idx="114">
                  <c:v>24.791686866488707</c:v>
                </c:pt>
                <c:pt idx="115">
                  <c:v>24.272662734629613</c:v>
                </c:pt>
                <c:pt idx="116">
                  <c:v>23.755254828699663</c:v>
                </c:pt>
                <c:pt idx="117">
                  <c:v>23.239697472325901</c:v>
                </c:pt>
                <c:pt idx="118">
                  <c:v>22.726247568707475</c:v>
                </c:pt>
                <c:pt idx="119">
                  <c:v>22.215187072485367</c:v>
                </c:pt>
                <c:pt idx="120">
                  <c:v>21.706825495105107</c:v>
                </c:pt>
                <c:pt idx="121">
                  <c:v>21.201502403596997</c:v>
                </c:pt>
                <c:pt idx="122">
                  <c:v>20.699589858248707</c:v>
                </c:pt>
                <c:pt idx="123">
                  <c:v>20.201494717924035</c:v>
                </c:pt>
                <c:pt idx="124">
                  <c:v>19.707660722917531</c:v>
                </c:pt>
                <c:pt idx="125">
                  <c:v>19.218570244640205</c:v>
                </c:pt>
                <c:pt idx="126">
                  <c:v>18.734745569836015</c:v>
                </c:pt>
                <c:pt idx="127">
                  <c:v>18.256749565637747</c:v>
                </c:pt>
                <c:pt idx="128">
                  <c:v>17.785185552301545</c:v>
                </c:pt>
                <c:pt idx="129">
                  <c:v>17.320696195242991</c:v>
                </c:pt>
                <c:pt idx="130">
                  <c:v>16.863961219973</c:v>
                </c:pt>
                <c:pt idx="131">
                  <c:v>16.415693756150272</c:v>
                </c:pt>
                <c:pt idx="132">
                  <c:v>15.976635134004511</c:v>
                </c:pt>
                <c:pt idx="133">
                  <c:v>15.54754799153055</c:v>
                </c:pt>
                <c:pt idx="134">
                  <c:v>15.12920760716076</c:v>
                </c:pt>
                <c:pt idx="135">
                  <c:v>14.722391451772484</c:v>
                </c:pt>
                <c:pt idx="136">
                  <c:v>14.327867055330071</c:v>
                </c:pt>
                <c:pt idx="137">
                  <c:v>13.946378403652774</c:v>
                </c:pt>
                <c:pt idx="138">
                  <c:v>13.578631212574024</c:v>
                </c:pt>
                <c:pt idx="139">
                  <c:v>13.225277559258018</c:v>
                </c:pt>
                <c:pt idx="140">
                  <c:v>12.886900469653458</c:v>
                </c:pt>
                <c:pt idx="141">
                  <c:v>12.563999151239393</c:v>
                </c:pt>
                <c:pt idx="142">
                  <c:v>12.256975605992535</c:v>
                </c:pt>
                <c:pt idx="143">
                  <c:v>11.966123347624801</c:v>
                </c:pt>
                <c:pt idx="144">
                  <c:v>11.691618873065121</c:v>
                </c:pt>
                <c:pt idx="145">
                  <c:v>11.433516402205088</c:v>
                </c:pt>
                <c:pt idx="146">
                  <c:v>11.191746211991152</c:v>
                </c:pt>
                <c:pt idx="147">
                  <c:v>10.966116668759314</c:v>
                </c:pt>
                <c:pt idx="148">
                  <c:v>10.75631982939931</c:v>
                </c:pt>
                <c:pt idx="149">
                  <c:v>10.561940262403947</c:v>
                </c:pt>
                <c:pt idx="150">
                  <c:v>10.382466556803525</c:v>
                </c:pt>
                <c:pt idx="151">
                  <c:v>10.217304857385303</c:v>
                </c:pt>
                <c:pt idx="152">
                  <c:v>10.065793697428724</c:v>
                </c:pt>
                <c:pt idx="153">
                  <c:v>9.9272193958402148</c:v>
                </c:pt>
                <c:pt idx="154">
                  <c:v>9.8008313367818864</c:v>
                </c:pt>
                <c:pt idx="155">
                  <c:v>9.685856543924757</c:v>
                </c:pt>
                <c:pt idx="156">
                  <c:v>9.581513082793947</c:v>
                </c:pt>
                <c:pt idx="157">
                  <c:v>9.4870219576487678</c:v>
                </c:pt>
                <c:pt idx="158">
                  <c:v>9.4016173002433643</c:v>
                </c:pt>
                <c:pt idx="159">
                  <c:v>9.3245547661553765</c:v>
                </c:pt>
                <c:pt idx="160">
                  <c:v>9.2551181534078957</c:v>
                </c:pt>
                <c:pt idx="161">
                  <c:v>9.1926243346468581</c:v>
                </c:pt>
                <c:pt idx="162">
                  <c:v>9.1364266479062621</c:v>
                </c:pt>
                <c:pt idx="163">
                  <c:v>9.0859169238711441</c:v>
                </c:pt>
                <c:pt idx="164">
                  <c:v>9.0405263426781044</c:v>
                </c:pt>
                <c:pt idx="165">
                  <c:v>8.9997253144092717</c:v>
                </c:pt>
                <c:pt idx="166">
                  <c:v>8.9630225682810547</c:v>
                </c:pt>
                <c:pt idx="167">
                  <c:v>8.9299636195208407</c:v>
                </c:pt>
                <c:pt idx="168">
                  <c:v>8.9001287629311747</c:v>
                </c:pt>
                <c:pt idx="169">
                  <c:v>8.8731307204296268</c:v>
                </c:pt>
                <c:pt idx="170">
                  <c:v>8.8486120480873485</c:v>
                </c:pt>
                <c:pt idx="171">
                  <c:v>8.8262423875221394</c:v>
                </c:pt>
                <c:pt idx="172">
                  <c:v>8.8057156276335604</c:v>
                </c:pt>
                <c:pt idx="173">
                  <c:v>8.7867470259829297</c:v>
                </c:pt>
                <c:pt idx="174">
                  <c:v>8.7690703247482613</c:v>
                </c:pt>
                <c:pt idx="175">
                  <c:v>8.7524348840940984</c:v>
                </c:pt>
                <c:pt idx="176">
                  <c:v>8.7366028458500242</c:v>
                </c:pt>
                <c:pt idx="177">
                  <c:v>8.7213463324172835</c:v>
                </c:pt>
                <c:pt idx="178">
                  <c:v>8.706444679602976</c:v>
                </c:pt>
                <c:pt idx="179">
                  <c:v>8.6916816974382627</c:v>
                </c:pt>
                <c:pt idx="180">
                  <c:v>8.6768429497996511</c:v>
                </c:pt>
                <c:pt idx="181">
                  <c:v>8.6617130416960464</c:v>
                </c:pt>
                <c:pt idx="182">
                  <c:v>8.6460729023287204</c:v>
                </c:pt>
                <c:pt idx="183">
                  <c:v>8.6296970524420242</c:v>
                </c:pt>
                <c:pt idx="184">
                  <c:v>8.6123508460806573</c:v>
                </c:pt>
                <c:pt idx="185">
                  <c:v>8.5937876797182504</c:v>
                </c:pt>
                <c:pt idx="186">
                  <c:v>8.573746165937937</c:v>
                </c:pt>
                <c:pt idx="187">
                  <c:v>8.5519472745803196</c:v>
                </c:pt>
                <c:pt idx="188">
                  <c:v>8.5280914517134647</c:v>
                </c:pt>
                <c:pt idx="189">
                  <c:v>8.5018557361293698</c:v>
                </c:pt>
                <c:pt idx="190">
                  <c:v>8.4728909045056149</c:v>
                </c:pt>
                <c:pt idx="191">
                  <c:v>8.4408186900734155</c:v>
                </c:pt>
                <c:pt idx="192">
                  <c:v>8.4052291356383897</c:v>
                </c:pt>
                <c:pt idx="193">
                  <c:v>8.3656781600522514</c:v>
                </c:pt>
                <c:pt idx="194">
                  <c:v>8.3216854374325742</c:v>
                </c:pt>
                <c:pt idx="195">
                  <c:v>8.2727327099636323</c:v>
                </c:pt>
                <c:pt idx="196">
                  <c:v>8.2182626769866509</c:v>
                </c:pt>
                <c:pt idx="197">
                  <c:v>8.1576786237911296</c:v>
                </c:pt>
                <c:pt idx="198">
                  <c:v>8.0903449709690438</c:v>
                </c:pt>
                <c:pt idx="199">
                  <c:v>8.0155889366876423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13728"/>
        <c:axId val="45115264"/>
      </c:scatterChart>
      <c:valAx>
        <c:axId val="45113728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115264"/>
        <c:crosses val="autoZero"/>
        <c:crossBetween val="midCat"/>
      </c:valAx>
      <c:valAx>
        <c:axId val="45115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113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Vout / Verr </a:t>
            </a:r>
          </a:p>
          <a:p>
            <a:pPr>
              <a:defRPr/>
            </a:pPr>
            <a:r>
              <a:rPr lang="en-US"/>
              <a:t>(Power Stage)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44707386795686"/>
          <c:y val="0.25615075205382609"/>
          <c:w val="0.65330318693326161"/>
          <c:h val="0.689762479380479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'[1]8. Loop Compensation'!$AQ$1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'[1]8.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</c:numCache>
            </c:numRef>
          </c:xVal>
          <c:yVal>
            <c:numRef>
              <c:f>'[1]8. Loop Compensation'!$AI$2:$AI$202</c:f>
              <c:numCache>
                <c:formatCode>General</c:formatCode>
                <c:ptCount val="201"/>
                <c:pt idx="0">
                  <c:v>-0.23927531200898353</c:v>
                </c:pt>
                <c:pt idx="1">
                  <c:v>-0.25445422772829379</c:v>
                </c:pt>
                <c:pt idx="2">
                  <c:v>-0.27059602160855623</c:v>
                </c:pt>
                <c:pt idx="3">
                  <c:v>-0.28776176854376251</c:v>
                </c:pt>
                <c:pt idx="4">
                  <c:v>-0.30601641626158638</c:v>
                </c:pt>
                <c:pt idx="5">
                  <c:v>-0.32542903067810408</c:v>
                </c:pt>
                <c:pt idx="6">
                  <c:v>-0.34607305675054162</c:v>
                </c:pt>
                <c:pt idx="7">
                  <c:v>-0.36802659579766672</c:v>
                </c:pt>
                <c:pt idx="8">
                  <c:v>-0.39137270031624344</c:v>
                </c:pt>
                <c:pt idx="9">
                  <c:v>-0.41619968738389718</c:v>
                </c:pt>
                <c:pt idx="10">
                  <c:v>-0.44260147180396053</c:v>
                </c:pt>
                <c:pt idx="11">
                  <c:v>-0.4706779202164183</c:v>
                </c:pt>
                <c:pt idx="12">
                  <c:v>-0.50053522747096824</c:v>
                </c:pt>
                <c:pt idx="13">
                  <c:v>-0.53228631663358184</c:v>
                </c:pt>
                <c:pt idx="14">
                  <c:v>-0.56605126407666728</c:v>
                </c:pt>
                <c:pt idx="15">
                  <c:v>-0.60195775118496531</c:v>
                </c:pt>
                <c:pt idx="16">
                  <c:v>-0.64014154429451198</c:v>
                </c:pt>
                <c:pt idx="17">
                  <c:v>-0.68074700457035575</c:v>
                </c:pt>
                <c:pt idx="18">
                  <c:v>-0.72392762961934531</c:v>
                </c:pt>
                <c:pt idx="19">
                  <c:v>-0.7698466287279716</c:v>
                </c:pt>
                <c:pt idx="20">
                  <c:v>-0.81867753370958052</c:v>
                </c:pt>
                <c:pt idx="21">
                  <c:v>-0.87060484744162547</c:v>
                </c:pt>
                <c:pt idx="22">
                  <c:v>-0.92582473226935946</c:v>
                </c:pt>
                <c:pt idx="23">
                  <c:v>-0.98454574054702648</c:v>
                </c:pt>
                <c:pt idx="24">
                  <c:v>-1.046989589679993</c:v>
                </c:pt>
                <c:pt idx="25">
                  <c:v>-1.1133919841180082</c:v>
                </c:pt>
                <c:pt idx="26">
                  <c:v>-1.184003486830947</c:v>
                </c:pt>
                <c:pt idx="27">
                  <c:v>-1.25909044286813</c:v>
                </c:pt>
                <c:pt idx="28">
                  <c:v>-1.3389359576592914</c:v>
                </c:pt>
                <c:pt idx="29">
                  <c:v>-1.423840932754149</c:v>
                </c:pt>
                <c:pt idx="30">
                  <c:v>-1.5141251617122169</c:v>
                </c:pt>
                <c:pt idx="31">
                  <c:v>-1.6101284888399865</c:v>
                </c:pt>
                <c:pt idx="32">
                  <c:v>-1.7122120334188695</c:v>
                </c:pt>
                <c:pt idx="33">
                  <c:v>-1.820759481966252</c:v>
                </c:pt>
                <c:pt idx="34">
                  <c:v>-1.9361784509111435</c:v>
                </c:pt>
                <c:pt idx="35">
                  <c:v>-2.0589019218305231</c:v>
                </c:pt>
                <c:pt idx="36">
                  <c:v>-2.1893897510670457</c:v>
                </c:pt>
                <c:pt idx="37">
                  <c:v>-2.3281302551108847</c:v>
                </c:pt>
                <c:pt idx="38">
                  <c:v>-2.4756418725558538</c:v>
                </c:pt>
                <c:pt idx="39">
                  <c:v>-2.6324749027012446</c:v>
                </c:pt>
                <c:pt idx="40">
                  <c:v>-2.7992133199336693</c:v>
                </c:pt>
                <c:pt idx="41">
                  <c:v>-2.9764766618443934</c:v>
                </c:pt>
                <c:pt idx="42">
                  <c:v>-3.164921987570589</c:v>
                </c:pt>
                <c:pt idx="43">
                  <c:v>-3.3652459010351654</c:v>
                </c:pt>
                <c:pt idx="44">
                  <c:v>-3.5781866315330149</c:v>
                </c:pt>
                <c:pt idx="45">
                  <c:v>-3.804526161393651</c:v>
                </c:pt>
                <c:pt idx="46">
                  <c:v>-4.0450923871503175</c:v>
                </c:pt>
                <c:pt idx="47">
                  <c:v>-4.3007612966594388</c:v>
                </c:pt>
                <c:pt idx="48">
                  <c:v>-4.5724591398221559</c:v>
                </c:pt>
                <c:pt idx="49">
                  <c:v>-4.8611645648267992</c:v>
                </c:pt>
                <c:pt idx="50">
                  <c:v>-5.1679106850031022</c:v>
                </c:pt>
                <c:pt idx="51">
                  <c:v>-5.4937870332934695</c:v>
                </c:pt>
                <c:pt idx="52">
                  <c:v>-5.8399413518123824</c:v>
                </c:pt>
                <c:pt idx="53">
                  <c:v>-6.2075811528007314</c:v>
                </c:pt>
                <c:pt idx="54">
                  <c:v>-6.5979749742753002</c:v>
                </c:pt>
                <c:pt idx="55">
                  <c:v>-7.0124532386473106</c:v>
                </c:pt>
                <c:pt idx="56">
                  <c:v>-7.4524086053463705</c:v>
                </c:pt>
                <c:pt idx="57">
                  <c:v>-7.9192956889129551</c:v>
                </c:pt>
                <c:pt idx="58">
                  <c:v>-8.4146299920454517</c:v>
                </c:pt>
                <c:pt idx="59">
                  <c:v>-8.9399858787311821</c:v>
                </c:pt>
                <c:pt idx="60">
                  <c:v>-9.4969933860733207</c:v>
                </c:pt>
                <c:pt idx="61">
                  <c:v>-10.087333645138447</c:v>
                </c:pt>
                <c:pt idx="62">
                  <c:v>-10.71273265184063</c:v>
                </c:pt>
                <c:pt idx="63">
                  <c:v>-11.374953099657228</c:v>
                </c:pt>
                <c:pt idx="64">
                  <c:v>-12.075783958499066</c:v>
                </c:pt>
                <c:pt idx="65">
                  <c:v>-12.817027460634787</c:v>
                </c:pt>
                <c:pt idx="66">
                  <c:v>-13.600483138279156</c:v>
                </c:pt>
                <c:pt idx="67">
                  <c:v>-14.427928552311434</c:v>
                </c:pt>
                <c:pt idx="68">
                  <c:v>-15.301096362582202</c:v>
                </c:pt>
                <c:pt idx="69">
                  <c:v>-16.221647423442462</c:v>
                </c:pt>
                <c:pt idx="70">
                  <c:v>-17.191139650437155</c:v>
                </c:pt>
                <c:pt idx="71">
                  <c:v>-18.210992503162743</c:v>
                </c:pt>
                <c:pt idx="72">
                  <c:v>-19.282447072840149</c:v>
                </c:pt>
                <c:pt idx="73">
                  <c:v>-20.406521958198322</c:v>
                </c:pt>
                <c:pt idx="74">
                  <c:v>-21.583965364858773</c:v>
                </c:pt>
                <c:pt idx="75">
                  <c:v>-22.81520417296024</c:v>
                </c:pt>
                <c:pt idx="76">
                  <c:v>-24.100291081113195</c:v>
                </c:pt>
                <c:pt idx="77">
                  <c:v>-25.438851339921477</c:v>
                </c:pt>
                <c:pt idx="78">
                  <c:v>-26.830031013502186</c:v>
                </c:pt>
                <c:pt idx="79">
                  <c:v>-28.2724491196645</c:v>
                </c:pt>
                <c:pt idx="80">
                  <c:v>-29.764156354399585</c:v>
                </c:pt>
                <c:pt idx="81">
                  <c:v>-31.30260335043091</c:v>
                </c:pt>
                <c:pt idx="82">
                  <c:v>-32.884621494262198</c:v>
                </c:pt>
                <c:pt idx="83">
                  <c:v>-34.506419175507403</c:v>
                </c:pt>
                <c:pt idx="84">
                  <c:v>-36.163595922812732</c:v>
                </c:pt>
                <c:pt idx="85">
                  <c:v>-37.851176172540072</c:v>
                </c:pt>
                <c:pt idx="86">
                  <c:v>-39.563663433664836</c:v>
                </c:pt>
                <c:pt idx="87">
                  <c:v>-41.295114409760536</c:v>
                </c:pt>
                <c:pt idx="88">
                  <c:v>-43.039231312269678</c:v>
                </c:pt>
                <c:pt idx="89">
                  <c:v>-44.789469277411179</c:v>
                </c:pt>
                <c:pt idx="90">
                  <c:v>-46.539154628138981</c:v>
                </c:pt>
                <c:pt idx="91">
                  <c:v>-48.281608843558757</c:v>
                </c:pt>
                <c:pt idx="92">
                  <c:v>-50.010272623071856</c:v>
                </c:pt>
                <c:pt idx="93">
                  <c:v>-51.71882442373402</c:v>
                </c:pt>
                <c:pt idx="94">
                  <c:v>-53.401288308039852</c:v>
                </c:pt>
                <c:pt idx="95">
                  <c:v>-55.05212680522385</c:v>
                </c:pt>
                <c:pt idx="96">
                  <c:v>-56.666315651713774</c:v>
                </c:pt>
                <c:pt idx="97">
                  <c:v>-58.239398595228124</c:v>
                </c:pt>
                <c:pt idx="98">
                  <c:v>-59.767521775892071</c:v>
                </c:pt>
                <c:pt idx="99">
                  <c:v>-61.247448406705416</c:v>
                </c:pt>
                <c:pt idx="100">
                  <c:v>-62.676555467625604</c:v>
                </c:pt>
                <c:pt idx="101">
                  <c:v>-64.052814846134225</c:v>
                </c:pt>
                <c:pt idx="102">
                  <c:v>-65.374761786953115</c:v>
                </c:pt>
                <c:pt idx="103">
                  <c:v>-66.641453673345225</c:v>
                </c:pt>
                <c:pt idx="104">
                  <c:v>-67.852422094975836</c:v>
                </c:pt>
                <c:pt idx="105">
                  <c:v>-69.00762091829327</c:v>
                </c:pt>
                <c:pt idx="106">
                  <c:v>-70.107372723387442</c:v>
                </c:pt>
                <c:pt idx="107">
                  <c:v>-71.152315560209431</c:v>
                </c:pt>
                <c:pt idx="108">
                  <c:v>-72.143351551585368</c:v>
                </c:pt>
                <c:pt idx="109">
                  <c:v>-73.081598464030833</c:v>
                </c:pt>
                <c:pt idx="110">
                  <c:v>-73.968345002142044</c:v>
                </c:pt>
                <c:pt idx="111">
                  <c:v>-74.805010270607582</c:v>
                </c:pt>
                <c:pt idx="112">
                  <c:v>-75.593107594085268</c:v>
                </c:pt>
                <c:pt idx="113">
                  <c:v>-76.334212688044772</c:v>
                </c:pt>
                <c:pt idx="114">
                  <c:v>-77.029936028281867</c:v>
                </c:pt>
                <c:pt idx="115">
                  <c:v>-77.681899166166332</c:v>
                </c:pt>
                <c:pt idx="116">
                  <c:v>-78.291714673095356</c:v>
                </c:pt>
                <c:pt idx="117">
                  <c:v>-78.86096936344515</c:v>
                </c:pt>
                <c:pt idx="118">
                  <c:v>-79.391210433554718</c:v>
                </c:pt>
                <c:pt idx="119">
                  <c:v>-79.883934158888508</c:v>
                </c:pt>
                <c:pt idx="120">
                  <c:v>-80.340576807448983</c:v>
                </c:pt>
                <c:pt idx="121">
                  <c:v>-80.762507450733835</c:v>
                </c:pt>
                <c:pt idx="122">
                  <c:v>-81.151022380927287</c:v>
                </c:pt>
                <c:pt idx="123">
                  <c:v>-81.507340872261963</c:v>
                </c:pt>
                <c:pt idx="124">
                  <c:v>-81.832602053935204</c:v>
                </c:pt>
                <c:pt idx="125">
                  <c:v>-82.127862690454464</c:v>
                </c:pt>
                <c:pt idx="126">
                  <c:v>-82.394095692125092</c:v>
                </c:pt>
                <c:pt idx="127">
                  <c:v>-82.632189203144534</c:v>
                </c:pt>
                <c:pt idx="128">
                  <c:v>-82.842946137261421</c:v>
                </c:pt>
                <c:pt idx="129">
                  <c:v>-83.027084051166227</c:v>
                </c:pt>
                <c:pt idx="130">
                  <c:v>-83.185235263807513</c:v>
                </c:pt>
                <c:pt idx="131">
                  <c:v>-83.317947145819645</c:v>
                </c:pt>
                <c:pt idx="132">
                  <c:v>-83.425682517438872</c:v>
                </c:pt>
                <c:pt idx="133">
                  <c:v>-83.508820105895026</c:v>
                </c:pt>
                <c:pt idx="134">
                  <c:v>-83.567655024558576</c:v>
                </c:pt>
                <c:pt idx="135">
                  <c:v>-83.602399246344902</c:v>
                </c:pt>
                <c:pt idx="136">
                  <c:v>-83.613182053292022</c:v>
                </c:pt>
                <c:pt idx="137">
                  <c:v>-83.600050453082403</c:v>
                </c:pt>
                <c:pt idx="138">
                  <c:v>-83.5629695618249</c:v>
                </c:pt>
                <c:pt idx="139">
                  <c:v>-83.5018229609027</c:v>
                </c:pt>
                <c:pt idx="140">
                  <c:v>-83.416413044366493</c:v>
                </c:pt>
                <c:pt idx="141">
                  <c:v>-83.306461382467688</c:v>
                </c:pt>
                <c:pt idx="142">
                  <c:v>-83.171609136728549</c:v>
                </c:pt>
                <c:pt idx="143">
                  <c:v>-83.011417572692821</c:v>
                </c:pt>
                <c:pt idx="144">
                  <c:v>-82.825368728446676</c:v>
                </c:pt>
                <c:pt idx="145">
                  <c:v>-82.612866310399383</c:v>
                </c:pt>
                <c:pt idx="146">
                  <c:v>-82.373236902914059</c:v>
                </c:pt>
                <c:pt idx="147">
                  <c:v>-82.10573159540364</c:v>
                </c:pt>
                <c:pt idx="148">
                  <c:v>-81.809528149658718</c:v>
                </c:pt>
                <c:pt idx="149">
                  <c:v>-81.483733851571529</c:v>
                </c:pt>
                <c:pt idx="150">
                  <c:v>-81.127389215123486</c:v>
                </c:pt>
                <c:pt idx="151">
                  <c:v>-80.739472732408217</c:v>
                </c:pt>
                <c:pt idx="152">
                  <c:v>-80.318906891292016</c:v>
                </c:pt>
                <c:pt idx="153">
                  <c:v>-79.864565711511219</c:v>
                </c:pt>
                <c:pt idx="154">
                  <c:v>-79.375284079672412</c:v>
                </c:pt>
                <c:pt idx="155">
                  <c:v>-78.849869192377128</c:v>
                </c:pt>
                <c:pt idx="156">
                  <c:v>-78.287114442571095</c:v>
                </c:pt>
                <c:pt idx="157">
                  <c:v>-77.685816104547811</c:v>
                </c:pt>
                <c:pt idx="158">
                  <c:v>-77.0447931842522</c:v>
                </c:pt>
                <c:pt idx="159">
                  <c:v>-76.362910799144842</c:v>
                </c:pt>
                <c:pt idx="160">
                  <c:v>-75.639107430344211</c:v>
                </c:pt>
                <c:pt idx="161">
                  <c:v>-74.872426342542155</c:v>
                </c:pt>
                <c:pt idx="162">
                  <c:v>-74.062051386930293</c:v>
                </c:pt>
                <c:pt idx="163">
                  <c:v>-73.207347281315336</c:v>
                </c:pt>
                <c:pt idx="164">
                  <c:v>-72.307904292235307</c:v>
                </c:pt>
                <c:pt idx="165">
                  <c:v>-71.363587020038352</c:v>
                </c:pt>
                <c:pt idx="166">
                  <c:v>-70.374586706121903</c:v>
                </c:pt>
                <c:pt idx="167">
                  <c:v>-69.341476143040538</c:v>
                </c:pt>
                <c:pt idx="168">
                  <c:v>-68.265265880886076</c:v>
                </c:pt>
                <c:pt idx="169">
                  <c:v>-67.147460003989934</c:v>
                </c:pt>
                <c:pt idx="170">
                  <c:v>-65.99010932804147</c:v>
                </c:pt>
                <c:pt idx="171">
                  <c:v>-64.795859478000963</c:v>
                </c:pt>
                <c:pt idx="172">
                  <c:v>-63.567991001218999</c:v>
                </c:pt>
                <c:pt idx="173">
                  <c:v>-62.31044850477452</c:v>
                </c:pt>
                <c:pt idx="174">
                  <c:v>-61.027855839467477</c:v>
                </c:pt>
                <c:pt idx="175">
                  <c:v>-59.725514635927944</c:v>
                </c:pt>
                <c:pt idx="176">
                  <c:v>-58.409384063545794</c:v>
                </c:pt>
                <c:pt idx="177">
                  <c:v>-57.086040533777485</c:v>
                </c:pt>
                <c:pt idx="178">
                  <c:v>-55.762617171165033</c:v>
                </c:pt>
                <c:pt idx="179">
                  <c:v>-54.446724151684151</c:v>
                </c:pt>
                <c:pt idx="180">
                  <c:v>-53.146352344260698</c:v>
                </c:pt>
                <c:pt idx="181">
                  <c:v>-51.869763947058459</c:v>
                </c:pt>
                <c:pt idx="182">
                  <c:v>-50.62537483873875</c:v>
                </c:pt>
                <c:pt idx="183">
                  <c:v>-49.421634037211462</c:v>
                </c:pt>
                <c:pt idx="184">
                  <c:v>-48.266905885579291</c:v>
                </c:pt>
                <c:pt idx="185">
                  <c:v>-47.169360335137043</c:v>
                </c:pt>
                <c:pt idx="186">
                  <c:v>-46.136875999393219</c:v>
                </c:pt>
                <c:pt idx="187">
                  <c:v>-45.176959599117851</c:v>
                </c:pt>
                <c:pt idx="188">
                  <c:v>-44.296684134785608</c:v>
                </c:pt>
                <c:pt idx="189">
                  <c:v>-43.50264675564101</c:v>
                </c:pt>
                <c:pt idx="190">
                  <c:v>-42.800945983951806</c:v>
                </c:pt>
                <c:pt idx="191">
                  <c:v>-42.197176813222654</c:v>
                </c:pt>
                <c:pt idx="192">
                  <c:v>-41.696441306611348</c:v>
                </c:pt>
                <c:pt idx="193">
                  <c:v>-41.303371711348923</c:v>
                </c:pt>
                <c:pt idx="194">
                  <c:v>-41.022162773651218</c:v>
                </c:pt>
                <c:pt idx="195">
                  <c:v>-40.856609854514879</c:v>
                </c:pt>
                <c:pt idx="196">
                  <c:v>-40.810149560286554</c:v>
                </c:pt>
                <c:pt idx="197">
                  <c:v>-40.885899856543205</c:v>
                </c:pt>
                <c:pt idx="198">
                  <c:v>-41.086696975273121</c:v>
                </c:pt>
                <c:pt idx="199">
                  <c:v>-41.415126807756721</c:v>
                </c:pt>
                <c:pt idx="200">
                  <c:v>-41.873548864724313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48032"/>
        <c:axId val="45149568"/>
      </c:scatterChart>
      <c:valAx>
        <c:axId val="4514803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149568"/>
        <c:crosses val="autoZero"/>
        <c:crossBetween val="midCat"/>
      </c:valAx>
      <c:valAx>
        <c:axId val="45149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1480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|Vout / Verr| (Power Stage)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tool'!$AJ$2:$AJ$202</c:f>
              <c:numCache>
                <c:formatCode>General</c:formatCode>
                <c:ptCount val="201"/>
                <c:pt idx="0">
                  <c:v>16.985989467615422</c:v>
                </c:pt>
                <c:pt idx="1">
                  <c:v>16.985989424513846</c:v>
                </c:pt>
                <c:pt idx="2">
                  <c:v>16.985989375770245</c:v>
                </c:pt>
                <c:pt idx="3">
                  <c:v>16.985989320646112</c:v>
                </c:pt>
                <c:pt idx="4">
                  <c:v>16.985989258306248</c:v>
                </c:pt>
                <c:pt idx="5">
                  <c:v>16.985989187806059</c:v>
                </c:pt>
                <c:pt idx="6">
                  <c:v>16.985989108077412</c:v>
                </c:pt>
                <c:pt idx="7">
                  <c:v>16.985989017912271</c:v>
                </c:pt>
                <c:pt idx="8">
                  <c:v>16.985988915944521</c:v>
                </c:pt>
                <c:pt idx="9">
                  <c:v>16.985988800629183</c:v>
                </c:pt>
                <c:pt idx="10">
                  <c:v>16.985988670219065</c:v>
                </c:pt>
                <c:pt idx="11">
                  <c:v>16.985988522738285</c:v>
                </c:pt>
                <c:pt idx="12">
                  <c:v>16.985988355952234</c:v>
                </c:pt>
                <c:pt idx="13">
                  <c:v>16.9859881673339</c:v>
                </c:pt>
                <c:pt idx="14">
                  <c:v>16.985987954025415</c:v>
                </c:pt>
                <c:pt idx="15">
                  <c:v>16.985987712794859</c:v>
                </c:pt>
                <c:pt idx="16">
                  <c:v>16.985987439987234</c:v>
                </c:pt>
                <c:pt idx="17">
                  <c:v>16.985987131469077</c:v>
                </c:pt>
                <c:pt idx="18">
                  <c:v>16.985986782565913</c:v>
                </c:pt>
                <c:pt idx="19">
                  <c:v>16.985986387991336</c:v>
                </c:pt>
                <c:pt idx="20">
                  <c:v>16.985985941766959</c:v>
                </c:pt>
                <c:pt idx="21">
                  <c:v>16.985985437131848</c:v>
                </c:pt>
                <c:pt idx="22">
                  <c:v>16.985984866440038</c:v>
                </c:pt>
                <c:pt idx="23">
                  <c:v>16.985984221044713</c:v>
                </c:pt>
                <c:pt idx="24">
                  <c:v>16.985983491167236</c:v>
                </c:pt>
                <c:pt idx="25">
                  <c:v>16.985982665748899</c:v>
                </c:pt>
                <c:pt idx="26">
                  <c:v>16.985981732283442</c:v>
                </c:pt>
                <c:pt idx="27">
                  <c:v>16.985980676627552</c:v>
                </c:pt>
                <c:pt idx="28">
                  <c:v>16.98597948278654</c:v>
                </c:pt>
                <c:pt idx="29">
                  <c:v>16.985978132672056</c:v>
                </c:pt>
                <c:pt idx="30">
                  <c:v>16.985976605828043</c:v>
                </c:pt>
                <c:pt idx="31">
                  <c:v>16.985974879120679</c:v>
                </c:pt>
                <c:pt idx="32">
                  <c:v>16.985972926388047</c:v>
                </c:pt>
                <c:pt idx="33">
                  <c:v>16.985970718043653</c:v>
                </c:pt>
                <c:pt idx="34">
                  <c:v>16.985968220628202</c:v>
                </c:pt>
                <c:pt idx="35">
                  <c:v>16.985965396302671</c:v>
                </c:pt>
                <c:pt idx="36">
                  <c:v>16.985962202274944</c:v>
                </c:pt>
                <c:pt idx="37">
                  <c:v>16.985958590151661</c:v>
                </c:pt>
                <c:pt idx="38">
                  <c:v>16.985954505204823</c:v>
                </c:pt>
                <c:pt idx="39">
                  <c:v>16.985949885542833</c:v>
                </c:pt>
                <c:pt idx="40">
                  <c:v>16.985944661172731</c:v>
                </c:pt>
                <c:pt idx="41">
                  <c:v>16.985938752939855</c:v>
                </c:pt>
                <c:pt idx="42">
                  <c:v>16.985932071328623</c:v>
                </c:pt>
                <c:pt idx="43">
                  <c:v>16.985924515106472</c:v>
                </c:pt>
                <c:pt idx="44">
                  <c:v>16.985915969790238</c:v>
                </c:pt>
                <c:pt idx="45">
                  <c:v>16.985906305911865</c:v>
                </c:pt>
                <c:pt idx="46">
                  <c:v>16.985895377057133</c:v>
                </c:pt>
                <c:pt idx="47">
                  <c:v>16.985883017647815</c:v>
                </c:pt>
                <c:pt idx="48">
                  <c:v>16.985869040433442</c:v>
                </c:pt>
                <c:pt idx="49">
                  <c:v>16.985853233655099</c:v>
                </c:pt>
                <c:pt idx="50">
                  <c:v>16.985835357837825</c:v>
                </c:pt>
                <c:pt idx="51">
                  <c:v>16.985815142163645</c:v>
                </c:pt>
                <c:pt idx="52">
                  <c:v>16.985792280369921</c:v>
                </c:pt>
                <c:pt idx="53">
                  <c:v>16.98576642611102</c:v>
                </c:pt>
                <c:pt idx="54">
                  <c:v>16.985737187713525</c:v>
                </c:pt>
                <c:pt idx="55">
                  <c:v>16.985704122245213</c:v>
                </c:pt>
                <c:pt idx="56">
                  <c:v>16.985666728808454</c:v>
                </c:pt>
                <c:pt idx="57">
                  <c:v>16.985624440956471</c:v>
                </c:pt>
                <c:pt idx="58">
                  <c:v>16.985576618118266</c:v>
                </c:pt>
                <c:pt idx="59">
                  <c:v>16.98552253590212</c:v>
                </c:pt>
                <c:pt idx="60">
                  <c:v>16.98546137513204</c:v>
                </c:pt>
                <c:pt idx="61">
                  <c:v>16.98539220945122</c:v>
                </c:pt>
                <c:pt idx="62">
                  <c:v>16.985313991305741</c:v>
                </c:pt>
                <c:pt idx="63">
                  <c:v>16.985225536097559</c:v>
                </c:pt>
                <c:pt idx="64">
                  <c:v>16.985125504267874</c:v>
                </c:pt>
                <c:pt idx="65">
                  <c:v>16.985012381041539</c:v>
                </c:pt>
                <c:pt idx="66">
                  <c:v>16.984884453528018</c:v>
                </c:pt>
                <c:pt idx="67">
                  <c:v>16.984739784835163</c:v>
                </c:pt>
                <c:pt idx="68">
                  <c:v>16.984576184807533</c:v>
                </c:pt>
                <c:pt idx="69">
                  <c:v>16.984391176951096</c:v>
                </c:pt>
                <c:pt idx="70">
                  <c:v>16.984181961049934</c:v>
                </c:pt>
                <c:pt idx="71">
                  <c:v>16.983945370916828</c:v>
                </c:pt>
                <c:pt idx="72">
                  <c:v>16.983677826648208</c:v>
                </c:pt>
                <c:pt idx="73">
                  <c:v>16.983375280674494</c:v>
                </c:pt>
                <c:pt idx="74">
                  <c:v>16.983033156805277</c:v>
                </c:pt>
                <c:pt idx="75">
                  <c:v>16.982646281368773</c:v>
                </c:pt>
                <c:pt idx="76">
                  <c:v>16.98220880543105</c:v>
                </c:pt>
                <c:pt idx="77">
                  <c:v>16.981714116953139</c:v>
                </c:pt>
                <c:pt idx="78">
                  <c:v>16.98115474160209</c:v>
                </c:pt>
                <c:pt idx="79">
                  <c:v>16.98052223077346</c:v>
                </c:pt>
                <c:pt idx="80">
                  <c:v>16.979807035204889</c:v>
                </c:pt>
                <c:pt idx="81">
                  <c:v>16.978998362364052</c:v>
                </c:pt>
                <c:pt idx="82">
                  <c:v>16.97808401557511</c:v>
                </c:pt>
                <c:pt idx="83">
                  <c:v>16.977050212605569</c:v>
                </c:pt>
                <c:pt idx="84">
                  <c:v>16.97588138116862</c:v>
                </c:pt>
                <c:pt idx="85">
                  <c:v>16.97455992850189</c:v>
                </c:pt>
                <c:pt idx="86">
                  <c:v>16.97306598186249</c:v>
                </c:pt>
                <c:pt idx="87">
                  <c:v>16.971377096428025</c:v>
                </c:pt>
                <c:pt idx="88">
                  <c:v>16.969467926715488</c:v>
                </c:pt>
                <c:pt idx="89">
                  <c:v>16.967309857223153</c:v>
                </c:pt>
                <c:pt idx="90">
                  <c:v>16.964870587570079</c:v>
                </c:pt>
                <c:pt idx="91">
                  <c:v>16.962113666953883</c:v>
                </c:pt>
                <c:pt idx="92">
                  <c:v>16.958997972279924</c:v>
                </c:pt>
                <c:pt idx="93">
                  <c:v>16.955477123840005</c:v>
                </c:pt>
                <c:pt idx="94">
                  <c:v>16.951498831951849</c:v>
                </c:pt>
                <c:pt idx="95">
                  <c:v>16.947004167529151</c:v>
                </c:pt>
                <c:pt idx="96">
                  <c:v>16.941926749160075</c:v>
                </c:pt>
                <c:pt idx="97">
                  <c:v>16.936191838964451</c:v>
                </c:pt>
                <c:pt idx="98">
                  <c:v>16.929715339316637</c:v>
                </c:pt>
                <c:pt idx="99">
                  <c:v>16.922402682519053</c:v>
                </c:pt>
                <c:pt idx="100">
                  <c:v>16.914147605759172</c:v>
                </c:pt>
                <c:pt idx="101">
                  <c:v>16.904830804266403</c:v>
                </c:pt>
                <c:pt idx="102">
                  <c:v>16.894318456613014</c:v>
                </c:pt>
                <c:pt idx="103">
                  <c:v>16.882460617702804</c:v>
                </c:pt>
                <c:pt idx="104">
                  <c:v>16.869089477318163</c:v>
                </c:pt>
                <c:pt idx="105">
                  <c:v>16.854017485330242</c:v>
                </c:pt>
                <c:pt idx="106">
                  <c:v>16.837035349024742</c:v>
                </c:pt>
                <c:pt idx="107">
                  <c:v>16.817909913685295</c:v>
                </c:pt>
                <c:pt idx="108">
                  <c:v>16.796381944851024</c:v>
                </c:pt>
                <c:pt idx="109">
                  <c:v>16.772163839770194</c:v>
                </c:pt>
                <c:pt idx="110">
                  <c:v>16.744937306731451</c:v>
                </c:pt>
                <c:pt idx="111">
                  <c:v>16.714351064344648</c:v>
                </c:pt>
                <c:pt idx="112">
                  <c:v>16.68001862854036</c:v>
                </c:pt>
                <c:pt idx="113">
                  <c:v>16.641516272987367</c:v>
                </c:pt>
                <c:pt idx="114">
                  <c:v>16.598381268484598</c:v>
                </c:pt>
                <c:pt idx="115">
                  <c:v>16.550110528048521</c:v>
                </c:pt>
                <c:pt idx="116">
                  <c:v>16.496159805853367</c:v>
                </c:pt>
                <c:pt idx="117">
                  <c:v>16.435943618348571</c:v>
                </c:pt>
                <c:pt idx="118">
                  <c:v>16.36883607264895</c:v>
                </c:pt>
                <c:pt idx="119">
                  <c:v>16.294172797928951</c:v>
                </c:pt>
                <c:pt idx="120">
                  <c:v>16.21125417675006</c:v>
                </c:pt>
                <c:pt idx="121">
                  <c:v>16.119350061308467</c:v>
                </c:pt>
                <c:pt idx="122">
                  <c:v>16.017706130735892</c:v>
                </c:pt>
                <c:pt idx="123">
                  <c:v>15.905551996477133</c:v>
                </c:pt>
                <c:pt idx="124">
                  <c:v>15.7821110911829</c:v>
                </c:pt>
                <c:pt idx="125">
                  <c:v>15.646612282199948</c:v>
                </c:pt>
                <c:pt idx="126">
                  <c:v>15.498303036090583</c:v>
                </c:pt>
                <c:pt idx="127">
                  <c:v>15.336463831588592</c:v>
                </c:pt>
                <c:pt idx="128">
                  <c:v>15.160423384655884</c:v>
                </c:pt>
                <c:pt idx="129">
                  <c:v>14.969574123920822</c:v>
                </c:pt>
                <c:pt idx="130">
                  <c:v>14.763387253135766</c:v>
                </c:pt>
                <c:pt idx="131">
                  <c:v>14.541426675151873</c:v>
                </c:pt>
                <c:pt idx="132">
                  <c:v>14.303361042877288</c:v>
                </c:pt>
                <c:pt idx="133">
                  <c:v>14.048973255455588</c:v>
                </c:pt>
                <c:pt idx="134">
                  <c:v>13.778166833935055</c:v>
                </c:pt>
                <c:pt idx="135">
                  <c:v>13.490968782941508</c:v>
                </c:pt>
                <c:pt idx="136">
                  <c:v>13.187528757981276</c:v>
                </c:pt>
                <c:pt idx="137">
                  <c:v>12.868114590305805</c:v>
                </c:pt>
                <c:pt idx="138">
                  <c:v>12.533104448001486</c:v>
                </c:pt>
                <c:pt idx="139">
                  <c:v>12.182976109267265</c:v>
                </c:pt>
                <c:pt idx="140">
                  <c:v>11.818293972510904</c:v>
                </c:pt>
                <c:pt idx="141">
                  <c:v>11.439694516140353</c:v>
                </c:pt>
                <c:pt idx="142">
                  <c:v>11.04787094554684</c:v>
                </c:pt>
                <c:pt idx="143">
                  <c:v>10.64355773068495</c:v>
                </c:pt>
                <c:pt idx="144">
                  <c:v>10.227515656053765</c:v>
                </c:pt>
                <c:pt idx="145">
                  <c:v>9.8005178906771881</c:v>
                </c:pt>
                <c:pt idx="146">
                  <c:v>9.3633374547491979</c:v>
                </c:pt>
                <c:pt idx="147">
                  <c:v>8.9167363264944619</c:v>
                </c:pt>
                <c:pt idx="148">
                  <c:v>8.4614563091457544</c:v>
                </c:pt>
                <c:pt idx="149">
                  <c:v>7.9982116717414851</c:v>
                </c:pt>
                <c:pt idx="150">
                  <c:v>7.5276834930321535</c:v>
                </c:pt>
                <c:pt idx="151">
                  <c:v>7.0505155762910494</c:v>
                </c:pt>
                <c:pt idx="152">
                  <c:v>6.5673117630005118</c:v>
                </c:pt>
                <c:pt idx="153">
                  <c:v>6.0786344524121727</c:v>
                </c:pt>
                <c:pt idx="154">
                  <c:v>5.5850041282495795</c:v>
                </c:pt>
                <c:pt idx="155">
                  <c:v>5.0868996995405329</c:v>
                </c:pt>
                <c:pt idx="156">
                  <c:v>4.5847594761801371</c:v>
                </c:pt>
                <c:pt idx="157">
                  <c:v>4.0789826182655498</c:v>
                </c:pt>
                <c:pt idx="158">
                  <c:v>3.5699309190428301</c:v>
                </c:pt>
                <c:pt idx="159">
                  <c:v>3.057930802603666</c:v>
                </c:pt>
                <c:pt idx="160">
                  <c:v>2.5432754379595623</c:v>
                </c:pt>
                <c:pt idx="161">
                  <c:v>2.026226889960467</c:v>
                </c:pt>
                <c:pt idx="162">
                  <c:v>1.5070182442470184</c:v>
                </c:pt>
                <c:pt idx="163">
                  <c:v>0.98585565783892337</c:v>
                </c:pt>
                <c:pt idx="164">
                  <c:v>0.46292029905768328</c:v>
                </c:pt>
                <c:pt idx="165">
                  <c:v>-6.1629849598694261E-2</c:v>
                </c:pt>
                <c:pt idx="166">
                  <c:v>-0.58765834407970652</c:v>
                </c:pt>
                <c:pt idx="167">
                  <c:v>-1.1150487991641806</c:v>
                </c:pt>
                <c:pt idx="168">
                  <c:v>-1.6437035841575633</c:v>
                </c:pt>
                <c:pt idx="169">
                  <c:v>-2.1735426980177253</c:v>
                </c:pt>
                <c:pt idx="170">
                  <c:v>-2.7045028255917747</c:v>
                </c:pt>
                <c:pt idx="171">
                  <c:v>-3.2365365750396351</c:v>
                </c:pt>
                <c:pt idx="172">
                  <c:v>-3.769611895542119</c:v>
                </c:pt>
                <c:pt idx="173">
                  <c:v>-4.3037116738825363</c:v>
                </c:pt>
                <c:pt idx="174">
                  <c:v>-4.8388335083067631</c:v>
                </c:pt>
                <c:pt idx="175">
                  <c:v>-5.3749896580664211</c:v>
                </c:pt>
                <c:pt idx="176">
                  <c:v>-5.9122071671200551</c:v>
                </c:pt>
                <c:pt idx="177">
                  <c:v>-6.4505281604733131</c:v>
                </c:pt>
                <c:pt idx="178">
                  <c:v>-6.9900103114689438</c:v>
                </c:pt>
                <c:pt idx="179">
                  <c:v>-7.5307274778557645</c:v>
                </c:pt>
                <c:pt idx="180">
                  <c:v>-8.0727705035331869</c:v>
                </c:pt>
                <c:pt idx="181">
                  <c:v>-8.6162481813277907</c:v>
                </c:pt>
                <c:pt idx="182">
                  <c:v>-9.1612883698395855</c:v>
                </c:pt>
                <c:pt idx="183">
                  <c:v>-9.7080392540947287</c:v>
                </c:pt>
                <c:pt idx="184">
                  <c:v>-10.256670735256389</c:v>
                </c:pt>
                <c:pt idx="185">
                  <c:v>-10.807375928728247</c:v>
                </c:pt>
                <c:pt idx="186">
                  <c:v>-11.360372742416466</c:v>
                </c:pt>
                <c:pt idx="187">
                  <c:v>-11.915905497444667</c:v>
                </c:pt>
                <c:pt idx="188">
                  <c:v>-12.474246542062479</c:v>
                </c:pt>
                <c:pt idx="189">
                  <c:v>-13.035697795704781</c:v>
                </c:pt>
                <c:pt idx="190">
                  <c:v>-13.600592144140782</c:v>
                </c:pt>
                <c:pt idx="191">
                  <c:v>-14.169294588555154</c:v>
                </c:pt>
                <c:pt idx="192">
                  <c:v>-14.742203031659219</c:v>
                </c:pt>
                <c:pt idx="193">
                  <c:v>-15.319748563308362</c:v>
                </c:pt>
                <c:pt idx="194">
                  <c:v>-15.902395087832682</c:v>
                </c:pt>
                <c:pt idx="195">
                  <c:v>-16.490638117148297</c:v>
                </c:pt>
                <c:pt idx="196">
                  <c:v>-17.085002540089764</c:v>
                </c:pt>
                <c:pt idx="197">
                  <c:v>-17.686039172321525</c:v>
                </c:pt>
                <c:pt idx="198">
                  <c:v>-18.294319896219282</c:v>
                </c:pt>
                <c:pt idx="199">
                  <c:v>-18.910431220205474</c:v>
                </c:pt>
                <c:pt idx="200">
                  <c:v>-19.53496612609797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11104"/>
        <c:axId val="61740160"/>
      </c:scatterChart>
      <c:valAx>
        <c:axId val="49311104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740160"/>
        <c:crosses val="autoZero"/>
        <c:crossBetween val="midCat"/>
      </c:valAx>
      <c:valAx>
        <c:axId val="61740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3111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Vloop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'Design tool'!$AT$1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tool'!$AT$2:$AT$202</c:f>
              <c:numCache>
                <c:formatCode>General</c:formatCode>
                <c:ptCount val="201"/>
                <c:pt idx="0">
                  <c:v>178.98132139411868</c:v>
                </c:pt>
                <c:pt idx="1">
                  <c:v>178.91671321354829</c:v>
                </c:pt>
                <c:pt idx="2">
                  <c:v>178.84800938646657</c:v>
                </c:pt>
                <c:pt idx="3">
                  <c:v>178.77495069285345</c:v>
                </c:pt>
                <c:pt idx="4">
                  <c:v>178.69726158958966</c:v>
                </c:pt>
                <c:pt idx="5">
                  <c:v>178.61464919948406</c:v>
                </c:pt>
                <c:pt idx="6">
                  <c:v>178.52680224112316</c:v>
                </c:pt>
                <c:pt idx="7">
                  <c:v>178.43338989678637</c:v>
                </c:pt>
                <c:pt idx="8">
                  <c:v>178.33406061569758</c:v>
                </c:pt>
                <c:pt idx="9">
                  <c:v>178.22844084995006</c:v>
                </c:pt>
                <c:pt idx="10">
                  <c:v>178.11613372056144</c:v>
                </c:pt>
                <c:pt idx="11">
                  <c:v>177.99671761129835</c:v>
                </c:pt>
                <c:pt idx="12">
                  <c:v>177.86974468817453</c:v>
                </c:pt>
                <c:pt idx="13">
                  <c:v>177.73473934288779</c:v>
                </c:pt>
                <c:pt idx="14">
                  <c:v>177.59119655894222</c:v>
                </c:pt>
                <c:pt idx="15">
                  <c:v>177.43858019982977</c:v>
                </c:pt>
                <c:pt idx="16">
                  <c:v>177.27632121945038</c:v>
                </c:pt>
                <c:pt idx="17">
                  <c:v>177.10381579596671</c:v>
                </c:pt>
                <c:pt idx="18">
                  <c:v>176.92042339156856</c:v>
                </c:pt>
                <c:pt idx="19">
                  <c:v>176.72546474220422</c:v>
                </c:pt>
                <c:pt idx="20">
                  <c:v>176.51821978329423</c:v>
                </c:pt>
                <c:pt idx="21">
                  <c:v>176.29792551983823</c:v>
                </c:pt>
                <c:pt idx="22">
                  <c:v>176.06377385224488</c:v>
                </c:pt>
                <c:pt idx="23">
                  <c:v>175.81490937275586</c:v>
                </c:pt>
                <c:pt idx="24">
                  <c:v>175.55042715160138</c:v>
                </c:pt>
                <c:pt idx="25">
                  <c:v>175.26937053714926</c:v>
                </c:pt>
                <c:pt idx="26">
                  <c:v>174.97072900042863</c:v>
                </c:pt>
                <c:pt idx="27">
                  <c:v>174.65343606168332</c:v>
                </c:pt>
                <c:pt idx="28">
                  <c:v>174.31636734521214</c:v>
                </c:pt>
                <c:pt idx="29">
                  <c:v>173.95833881886963</c:v>
                </c:pt>
                <c:pt idx="30">
                  <c:v>173.57810528642892</c:v>
                </c:pt>
                <c:pt idx="31">
                  <c:v>173.17435921474353</c:v>
                </c:pt>
                <c:pt idx="32">
                  <c:v>172.74572999347834</c:v>
                </c:pt>
                <c:pt idx="33">
                  <c:v>172.29078374327239</c:v>
                </c:pt>
                <c:pt idx="34">
                  <c:v>171.80802380866351</c:v>
                </c:pt>
                <c:pt idx="35">
                  <c:v>171.29589209497777</c:v>
                </c:pt>
                <c:pt idx="36">
                  <c:v>170.75277143357752</c:v>
                </c:pt>
                <c:pt idx="37">
                  <c:v>170.17698918709789</c:v>
                </c:pt>
                <c:pt idx="38">
                  <c:v>169.56682233505867</c:v>
                </c:pt>
                <c:pt idx="39">
                  <c:v>168.92050430965659</c:v>
                </c:pt>
                <c:pt idx="40">
                  <c:v>168.23623388030555</c:v>
                </c:pt>
                <c:pt idx="41">
                  <c:v>167.51218641172326</c:v>
                </c:pt>
                <c:pt idx="42">
                  <c:v>166.74652784147497</c:v>
                </c:pt>
                <c:pt idx="43">
                  <c:v>165.93743173545553</c:v>
                </c:pt>
                <c:pt idx="44">
                  <c:v>165.08309977945299</c:v>
                </c:pt>
                <c:pt idx="45">
                  <c:v>164.18178604628397</c:v>
                </c:pt>
                <c:pt idx="46">
                  <c:v>163.23182533463435</c:v>
                </c:pt>
                <c:pt idx="47">
                  <c:v>162.23166580040757</c:v>
                </c:pt>
                <c:pt idx="48">
                  <c:v>161.17990598636155</c:v>
                </c:pt>
                <c:pt idx="49">
                  <c:v>160.07533619349445</c:v>
                </c:pt>
                <c:pt idx="50">
                  <c:v>158.91698392160771</c:v>
                </c:pt>
                <c:pt idx="51">
                  <c:v>157.70416283282557</c:v>
                </c:pt>
                <c:pt idx="52">
                  <c:v>156.43652436104978</c:v>
                </c:pt>
                <c:pt idx="53">
                  <c:v>155.11411070922131</c:v>
                </c:pt>
                <c:pt idx="54">
                  <c:v>153.73740756034215</c:v>
                </c:pt>
                <c:pt idx="55">
                  <c:v>152.30739440336993</c:v>
                </c:pt>
                <c:pt idx="56">
                  <c:v>150.82558997868884</c:v>
                </c:pt>
                <c:pt idx="57">
                  <c:v>149.29409002807554</c:v>
                </c:pt>
                <c:pt idx="58">
                  <c:v>147.71559434707507</c:v>
                </c:pt>
                <c:pt idx="59">
                  <c:v>146.09342014206999</c:v>
                </c:pt>
                <c:pt idx="60">
                  <c:v>144.43149894253125</c:v>
                </c:pt>
                <c:pt idx="61">
                  <c:v>142.73435484685658</c:v>
                </c:pt>
                <c:pt idx="62">
                  <c:v>141.0070626959145</c:v>
                </c:pt>
                <c:pt idx="63">
                  <c:v>139.25518584297106</c:v>
                </c:pt>
                <c:pt idx="64">
                  <c:v>137.48469445144428</c:v>
                </c:pt>
                <c:pt idx="65">
                  <c:v>135.70186659325651</c:v>
                </c:pt>
                <c:pt idx="66">
                  <c:v>133.91317570266907</c:v>
                </c:pt>
                <c:pt idx="67">
                  <c:v>132.12516901646927</c:v>
                </c:pt>
                <c:pt idx="68">
                  <c:v>130.34434236841119</c:v>
                </c:pt>
                <c:pt idx="69">
                  <c:v>128.57701700867023</c:v>
                </c:pt>
                <c:pt idx="70">
                  <c:v>126.82922394763695</c:v>
                </c:pt>
                <c:pt idx="71">
                  <c:v>125.10660070043889</c:v>
                </c:pt>
                <c:pt idx="72">
                  <c:v>123.41430431533891</c:v>
                </c:pt>
                <c:pt idx="73">
                  <c:v>121.75694333012265</c:v>
                </c:pt>
                <c:pt idx="74">
                  <c:v>120.13852996120268</c:v>
                </c:pt>
                <c:pt idx="75">
                  <c:v>118.56245253291955</c:v>
                </c:pt>
                <c:pt idx="76">
                  <c:v>117.03146701843106</c:v>
                </c:pt>
                <c:pt idx="77">
                  <c:v>115.54770567086145</c:v>
                </c:pt>
                <c:pt idx="78">
                  <c:v>114.11270011441643</c:v>
                </c:pt>
                <c:pt idx="79">
                  <c:v>112.72741594153185</c:v>
                </c:pt>
                <c:pt idx="80">
                  <c:v>111.39229579459396</c:v>
                </c:pt>
                <c:pt idx="81">
                  <c:v>110.10730805045509</c:v>
                </c:pt>
                <c:pt idx="82">
                  <c:v>108.8719985150193</c:v>
                </c:pt>
                <c:pt idx="83">
                  <c:v>107.68554291611697</c:v>
                </c:pt>
                <c:pt idx="84">
                  <c:v>106.54679840489874</c:v>
                </c:pt>
                <c:pt idx="85">
                  <c:v>105.45435269858669</c:v>
                </c:pt>
                <c:pt idx="86">
                  <c:v>104.40656989157685</c:v>
                </c:pt>
                <c:pt idx="87">
                  <c:v>103.40163230943951</c:v>
                </c:pt>
                <c:pt idx="88">
                  <c:v>102.43757807225582</c:v>
                </c:pt>
                <c:pt idx="89">
                  <c:v>101.51233426804731</c:v>
                </c:pt>
                <c:pt idx="90">
                  <c:v>100.62374581670554</c:v>
                </c:pt>
                <c:pt idx="91">
                  <c:v>99.769600235797569</c:v>
                </c:pt>
                <c:pt idx="92">
                  <c:v>98.947648609365658</c:v>
                </c:pt>
                <c:pt idx="93">
                  <c:v>98.155623117251764</c:v>
                </c:pt>
                <c:pt idx="94">
                  <c:v>97.391251513107036</c:v>
                </c:pt>
                <c:pt idx="95">
                  <c:v>96.652268950881847</c:v>
                </c:pt>
                <c:pt idx="96">
                  <c:v>95.936427558060487</c:v>
                </c:pt>
                <c:pt idx="97">
                  <c:v>95.241504144005816</c:v>
                </c:pt>
                <c:pt idx="98">
                  <c:v>94.565306417319604</c:v>
                </c:pt>
                <c:pt idx="99">
                  <c:v>93.905678070049433</c:v>
                </c:pt>
                <c:pt idx="100">
                  <c:v>93.260503071043914</c:v>
                </c:pt>
                <c:pt idx="101">
                  <c:v>92.627709497288848</c:v>
                </c:pt>
                <c:pt idx="102">
                  <c:v>92.005273221610423</c:v>
                </c:pt>
                <c:pt idx="103">
                  <c:v>91.391221768191258</c:v>
                </c:pt>
                <c:pt idx="104">
                  <c:v>90.783638643954362</c:v>
                </c:pt>
                <c:pt idx="105">
                  <c:v>90.180668453662122</c:v>
                </c:pt>
                <c:pt idx="106">
                  <c:v>89.580523108741303</c:v>
                </c:pt>
                <c:pt idx="107">
                  <c:v>88.981489443093849</c:v>
                </c:pt>
                <c:pt idx="108">
                  <c:v>88.381938551631066</c:v>
                </c:pt>
                <c:pt idx="109">
                  <c:v>87.780337166482553</c:v>
                </c:pt>
                <c:pt idx="110">
                  <c:v>87.175261378513625</c:v>
                </c:pt>
                <c:pt idx="111">
                  <c:v>86.565412993809559</c:v>
                </c:pt>
                <c:pt idx="112">
                  <c:v>85.949638781095658</c:v>
                </c:pt>
                <c:pt idx="113">
                  <c:v>85.326952810649715</c:v>
                </c:pt>
                <c:pt idx="114">
                  <c:v>84.696562001267637</c:v>
                </c:pt>
                <c:pt idx="115">
                  <c:v>84.057894871852071</c:v>
                </c:pt>
                <c:pt idx="116">
                  <c:v>83.41063333074004</c:v>
                </c:pt>
                <c:pt idx="117">
                  <c:v>82.754747122288194</c:v>
                </c:pt>
                <c:pt idx="118">
                  <c:v>82.09053028188498</c:v>
                </c:pt>
                <c:pt idx="119">
                  <c:v>81.418638626493276</c:v>
                </c:pt>
                <c:pt idx="120">
                  <c:v>80.740126932876123</c:v>
                </c:pt>
                <c:pt idx="121">
                  <c:v>80.056484042624348</c:v>
                </c:pt>
                <c:pt idx="122">
                  <c:v>79.369663705094311</c:v>
                </c:pt>
                <c:pt idx="123">
                  <c:v>78.682108561412647</c:v>
                </c:pt>
                <c:pt idx="124">
                  <c:v>77.996764332309667</c:v>
                </c:pt>
                <c:pt idx="125">
                  <c:v>77.317081058270048</c:v>
                </c:pt>
                <c:pt idx="126">
                  <c:v>76.646998217753463</c:v>
                </c:pt>
                <c:pt idx="127">
                  <c:v>75.990910783259636</c:v>
                </c:pt>
                <c:pt idx="128">
                  <c:v>75.353613820401534</c:v>
                </c:pt>
                <c:pt idx="129">
                  <c:v>74.74022412380134</c:v>
                </c:pt>
                <c:pt idx="130">
                  <c:v>74.156078612159206</c:v>
                </c:pt>
                <c:pt idx="131">
                  <c:v>73.606610724724135</c:v>
                </c:pt>
                <c:pt idx="132">
                  <c:v>73.097207774509798</c:v>
                </c:pt>
                <c:pt idx="133">
                  <c:v>72.633053975766856</c:v>
                </c:pt>
                <c:pt idx="134">
                  <c:v>72.218965497103099</c:v>
                </c:pt>
                <c:pt idx="135">
                  <c:v>71.859225207461776</c:v>
                </c:pt>
                <c:pt idx="136">
                  <c:v>71.557425604089502</c:v>
                </c:pt>
                <c:pt idx="137">
                  <c:v>71.316328604131058</c:v>
                </c:pt>
                <c:pt idx="138">
                  <c:v>71.137750371632009</c:v>
                </c:pt>
                <c:pt idx="139">
                  <c:v>71.022478142414371</c:v>
                </c:pt>
                <c:pt idx="140">
                  <c:v>70.970224181964255</c:v>
                </c:pt>
                <c:pt idx="141">
                  <c:v>70.979619717827234</c:v>
                </c:pt>
                <c:pt idx="142">
                  <c:v>71.04824913291651</c:v>
                </c:pt>
                <c:pt idx="143">
                  <c:v>71.172722124133216</c:v>
                </c:pt>
                <c:pt idx="144">
                  <c:v>71.348779159369514</c:v>
                </c:pt>
                <c:pt idx="145">
                  <c:v>71.571423619005543</c:v>
                </c:pt>
                <c:pt idx="146">
                  <c:v>71.83507265076409</c:v>
                </c:pt>
                <c:pt idx="147">
                  <c:v>72.133718097489975</c:v>
                </c:pt>
                <c:pt idx="148">
                  <c:v>72.461088896671598</c:v>
                </c:pt>
                <c:pt idx="149">
                  <c:v>72.810807041605699</c:v>
                </c:pt>
                <c:pt idx="150">
                  <c:v>73.1765304137637</c:v>
                </c:pt>
                <c:pt idx="151">
                  <c:v>73.552077375171208</c:v>
                </c:pt>
                <c:pt idx="152">
                  <c:v>73.931529759422759</c:v>
                </c:pt>
                <c:pt idx="153">
                  <c:v>74.309312638167285</c:v>
                </c:pt>
                <c:pt idx="154">
                  <c:v>74.680250813484264</c:v>
                </c:pt>
                <c:pt idx="155">
                  <c:v>75.039603286579108</c:v>
                </c:pt>
                <c:pt idx="156">
                  <c:v>75.38307792010859</c:v>
                </c:pt>
                <c:pt idx="157">
                  <c:v>75.706829132569752</c:v>
                </c:pt>
                <c:pt idx="158">
                  <c:v>76.007441763564131</c:v>
                </c:pt>
                <c:pt idx="159">
                  <c:v>76.281904279127204</c:v>
                </c:pt>
                <c:pt idx="160">
                  <c:v>76.527574310549241</c:v>
                </c:pt>
                <c:pt idx="161">
                  <c:v>76.742139204414812</c:v>
                </c:pt>
                <c:pt idx="162">
                  <c:v>76.923573866574699</c:v>
                </c:pt>
                <c:pt idx="163">
                  <c:v>77.070097758759516</c:v>
                </c:pt>
                <c:pt idx="164">
                  <c:v>77.18013249145767</c:v>
                </c:pt>
                <c:pt idx="165">
                  <c:v>77.252261076356731</c:v>
                </c:pt>
                <c:pt idx="166">
                  <c:v>77.285189571157076</c:v>
                </c:pt>
                <c:pt idx="167">
                  <c:v>77.277711575511077</c:v>
                </c:pt>
                <c:pt idx="168">
                  <c:v>77.228675819625352</c:v>
                </c:pt>
                <c:pt idx="169">
                  <c:v>77.136956922974008</c:v>
                </c:pt>
                <c:pt idx="170">
                  <c:v>77.001429283587271</c:v>
                </c:pt>
                <c:pt idx="171">
                  <c:v>76.820943981483651</c:v>
                </c:pt>
                <c:pt idx="172">
                  <c:v>76.594308535911964</c:v>
                </c:pt>
                <c:pt idx="173">
                  <c:v>76.320269338591601</c:v>
                </c:pt>
                <c:pt idx="174">
                  <c:v>75.997496588368463</c:v>
                </c:pt>
                <c:pt idx="175">
                  <c:v>75.624571571881006</c:v>
                </c:pt>
                <c:pt idx="176">
                  <c:v>75.1999761661788</c:v>
                </c:pt>
                <c:pt idx="177">
                  <c:v>74.722084479868201</c:v>
                </c:pt>
                <c:pt idx="178">
                  <c:v>74.189156597128331</c:v>
                </c:pt>
                <c:pt idx="179">
                  <c:v>73.599334442333742</c:v>
                </c:pt>
                <c:pt idx="180">
                  <c:v>72.950639840934443</c:v>
                </c:pt>
                <c:pt idx="181">
                  <c:v>72.240974913862658</c:v>
                </c:pt>
                <c:pt idx="182">
                  <c:v>71.468125007346146</c:v>
                </c:pt>
                <c:pt idx="183">
                  <c:v>70.629764426778408</c:v>
                </c:pt>
                <c:pt idx="184">
                  <c:v>69.723465311156005</c:v>
                </c:pt>
                <c:pt idx="185">
                  <c:v>68.746710051945172</c:v>
                </c:pt>
                <c:pt idx="186">
                  <c:v>67.696907724764586</c:v>
                </c:pt>
                <c:pt idx="187">
                  <c:v>66.571415060694491</c:v>
                </c:pt>
                <c:pt idx="188">
                  <c:v>65.367562531775874</c:v>
                </c:pt>
                <c:pt idx="189">
                  <c:v>64.082686156315361</c:v>
                </c:pt>
                <c:pt idx="190">
                  <c:v>62.714165636127206</c:v>
                </c:pt>
                <c:pt idx="191">
                  <c:v>61.259469410151098</c:v>
                </c:pt>
                <c:pt idx="192">
                  <c:v>59.716207135315528</c:v>
                </c:pt>
                <c:pt idx="193">
                  <c:v>58.082189972795177</c:v>
                </c:pt>
                <c:pt idx="194">
                  <c:v>56.355498851532786</c:v>
                </c:pt>
                <c:pt idx="195">
                  <c:v>54.53456058664031</c:v>
                </c:pt>
                <c:pt idx="196">
                  <c:v>52.618231335356612</c:v>
                </c:pt>
                <c:pt idx="197">
                  <c:v>50.605886369000899</c:v>
                </c:pt>
                <c:pt idx="198">
                  <c:v>48.497514524499834</c:v>
                </c:pt>
                <c:pt idx="199">
                  <c:v>46.293814983244886</c:v>
                </c:pt>
                <c:pt idx="200">
                  <c:v>43.996293233027416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62176"/>
        <c:axId val="61780352"/>
      </c:scatterChart>
      <c:valAx>
        <c:axId val="6176217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780352"/>
        <c:crosses val="autoZero"/>
        <c:crossBetween val="midCat"/>
      </c:valAx>
      <c:valAx>
        <c:axId val="61780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7621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|Vloop|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155656795747917E-2"/>
          <c:y val="0.14502612166526546"/>
          <c:w val="0.7104696896192868"/>
          <c:h val="0.75399689885887189"/>
        </c:manualLayout>
      </c:layout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tool'!$AS$2:$AS$202</c:f>
              <c:numCache>
                <c:formatCode>General</c:formatCode>
                <c:ptCount val="201"/>
                <c:pt idx="0">
                  <c:v>67.515822221692773</c:v>
                </c:pt>
                <c:pt idx="1">
                  <c:v>67.51564525559418</c:v>
                </c:pt>
                <c:pt idx="2">
                  <c:v>67.515445133307921</c:v>
                </c:pt>
                <c:pt idx="3">
                  <c:v>67.515218826109376</c:v>
                </c:pt>
                <c:pt idx="4">
                  <c:v>67.514962909488389</c:v>
                </c:pt>
                <c:pt idx="5">
                  <c:v>67.514673511529622</c:v>
                </c:pt>
                <c:pt idx="6">
                  <c:v>67.514346254587053</c:v>
                </c:pt>
                <c:pt idx="7">
                  <c:v>67.513976189391698</c:v>
                </c:pt>
                <c:pt idx="8">
                  <c:v>67.513557720618493</c:v>
                </c:pt>
                <c:pt idx="9">
                  <c:v>67.51308452282035</c:v>
                </c:pt>
                <c:pt idx="10">
                  <c:v>67.512549445496788</c:v>
                </c:pt>
                <c:pt idx="11">
                  <c:v>67.511944405914946</c:v>
                </c:pt>
                <c:pt idx="12">
                  <c:v>67.511260268128638</c:v>
                </c:pt>
                <c:pt idx="13">
                  <c:v>67.510486706452582</c:v>
                </c:pt>
                <c:pt idx="14">
                  <c:v>67.509612051436932</c:v>
                </c:pt>
                <c:pt idx="15">
                  <c:v>67.50862311615532</c:v>
                </c:pt>
                <c:pt idx="16">
                  <c:v>67.507505000359743</c:v>
                </c:pt>
                <c:pt idx="17">
                  <c:v>67.506240869773535</c:v>
                </c:pt>
                <c:pt idx="18">
                  <c:v>67.504811707480826</c:v>
                </c:pt>
                <c:pt idx="19">
                  <c:v>67.503196034032328</c:v>
                </c:pt>
                <c:pt idx="20">
                  <c:v>67.501369592518614</c:v>
                </c:pt>
                <c:pt idx="21">
                  <c:v>67.499304994466897</c:v>
                </c:pt>
                <c:pt idx="22">
                  <c:v>67.496971321991495</c:v>
                </c:pt>
                <c:pt idx="23">
                  <c:v>67.494333681188678</c:v>
                </c:pt>
                <c:pt idx="24">
                  <c:v>67.49135270129436</c:v>
                </c:pt>
                <c:pt idx="25">
                  <c:v>67.487983973656611</c:v>
                </c:pt>
                <c:pt idx="26">
                  <c:v>67.484177424100864</c:v>
                </c:pt>
                <c:pt idx="27">
                  <c:v>67.479876611808919</c:v>
                </c:pt>
                <c:pt idx="28">
                  <c:v>67.475017947426622</c:v>
                </c:pt>
                <c:pt idx="29">
                  <c:v>67.469529822765111</c:v>
                </c:pt>
                <c:pt idx="30">
                  <c:v>67.463331644231204</c:v>
                </c:pt>
                <c:pt idx="31">
                  <c:v>67.456332762045108</c:v>
                </c:pt>
                <c:pt idx="32">
                  <c:v>67.448431287453346</c:v>
                </c:pt>
                <c:pt idx="33">
                  <c:v>67.439512790592644</c:v>
                </c:pt>
                <c:pt idx="34">
                  <c:v>67.429448872515991</c:v>
                </c:pt>
                <c:pt idx="35">
                  <c:v>67.418095606266078</c:v>
                </c:pt>
                <c:pt idx="36">
                  <c:v>67.405291843925639</c:v>
                </c:pt>
                <c:pt idx="37">
                  <c:v>67.390857389455476</c:v>
                </c:pt>
                <c:pt idx="38">
                  <c:v>67.374591041050749</c:v>
                </c:pt>
                <c:pt idx="39">
                  <c:v>67.356268511920163</c:v>
                </c:pt>
                <c:pt idx="40">
                  <c:v>67.335640245064596</c:v>
                </c:pt>
                <c:pt idx="41">
                  <c:v>67.312429146044565</c:v>
                </c:pt>
                <c:pt idx="42">
                  <c:v>67.286328268117401</c:v>
                </c:pt>
                <c:pt idx="43">
                  <c:v>67.2569984966905</c:v>
                </c:pt>
                <c:pt idx="44">
                  <c:v>67.224066294896005</c:v>
                </c:pt>
                <c:pt idx="45">
                  <c:v>67.187121589235602</c:v>
                </c:pt>
                <c:pt idx="46">
                  <c:v>67.145715893452035</c:v>
                </c:pt>
                <c:pt idx="47">
                  <c:v>67.099360789570369</c:v>
                </c:pt>
                <c:pt idx="48">
                  <c:v>67.047526906538053</c:v>
                </c:pt>
                <c:pt idx="49">
                  <c:v>66.989643557730005</c:v>
                </c:pt>
                <c:pt idx="50">
                  <c:v>66.925099216869711</c:v>
                </c:pt>
                <c:pt idx="51">
                  <c:v>66.853243025127085</c:v>
                </c:pt>
                <c:pt idx="52">
                  <c:v>66.773387527180645</c:v>
                </c:pt>
                <c:pt idx="53">
                  <c:v>66.684812827287061</c:v>
                </c:pt>
                <c:pt idx="54">
                  <c:v>66.58677233409415</c:v>
                </c:pt>
                <c:pt idx="55">
                  <c:v>66.478500221488261</c:v>
                </c:pt>
                <c:pt idx="56">
                  <c:v>66.35922066947731</c:v>
                </c:pt>
                <c:pt idx="57">
                  <c:v>66.228158862871396</c:v>
                </c:pt>
                <c:pt idx="58">
                  <c:v>66.084553617732269</c:v>
                </c:pt>
                <c:pt idx="59">
                  <c:v>65.927671380816264</c:v>
                </c:pt>
                <c:pt idx="60">
                  <c:v>65.756821213850074</c:v>
                </c:pt>
                <c:pt idx="61">
                  <c:v>65.571370244365511</c:v>
                </c:pt>
                <c:pt idx="62">
                  <c:v>65.370758952717253</c:v>
                </c:pt>
                <c:pt idx="63">
                  <c:v>65.154515586694558</c:v>
                </c:pt>
                <c:pt idx="64">
                  <c:v>64.922268965537754</c:v>
                </c:pt>
                <c:pt idx="65">
                  <c:v>64.673758964937335</c:v>
                </c:pt>
                <c:pt idx="66">
                  <c:v>64.40884406805489</c:v>
                </c:pt>
                <c:pt idx="67">
                  <c:v>64.127505520815618</c:v>
                </c:pt>
                <c:pt idx="68">
                  <c:v>63.829847830244972</c:v>
                </c:pt>
                <c:pt idx="69">
                  <c:v>63.51609557272775</c:v>
                </c:pt>
                <c:pt idx="70">
                  <c:v>63.186586710683692</c:v>
                </c:pt>
                <c:pt idx="71">
                  <c:v>62.841762826625313</c:v>
                </c:pt>
                <c:pt idx="72">
                  <c:v>62.482156851609318</c:v>
                </c:pt>
                <c:pt idx="73">
                  <c:v>62.108378976024127</c:v>
                </c:pt>
                <c:pt idx="74">
                  <c:v>61.721101478117021</c:v>
                </c:pt>
                <c:pt idx="75">
                  <c:v>61.321043191785002</c:v>
                </c:pt>
                <c:pt idx="76">
                  <c:v>60.908954269129381</c:v>
                </c:pt>
                <c:pt idx="77">
                  <c:v>60.485601788984482</c:v>
                </c:pt>
                <c:pt idx="78">
                  <c:v>60.051756635904944</c:v>
                </c:pt>
                <c:pt idx="79">
                  <c:v>59.608181940180877</c:v>
                </c:pt>
                <c:pt idx="80">
                  <c:v>59.155623241174098</c:v>
                </c:pt>
                <c:pt idx="81">
                  <c:v>58.694800422977984</c:v>
                </c:pt>
                <c:pt idx="82">
                  <c:v>58.226401378721874</c:v>
                </c:pt>
                <c:pt idx="83">
                  <c:v>57.751077289983748</c:v>
                </c:pt>
                <c:pt idx="84">
                  <c:v>57.269439360251596</c:v>
                </c:pt>
                <c:pt idx="85">
                  <c:v>56.782056813855597</c:v>
                </c:pt>
                <c:pt idx="86">
                  <c:v>56.289455960854809</c:v>
                </c:pt>
                <c:pt idx="87">
                  <c:v>55.792120130248662</c:v>
                </c:pt>
                <c:pt idx="88">
                  <c:v>55.290490284893032</c:v>
                </c:pt>
                <c:pt idx="89">
                  <c:v>54.784966148390964</c:v>
                </c:pt>
                <c:pt idx="90">
                  <c:v>54.275907694304721</c:v>
                </c:pt>
                <c:pt idx="91">
                  <c:v>53.763636869234553</c:v>
                </c:pt>
                <c:pt idx="92">
                  <c:v>53.248439442133026</c:v>
                </c:pt>
                <c:pt idx="93">
                  <c:v>52.730566891693769</c:v>
                </c:pt>
                <c:pt idx="94">
                  <c:v>52.210238261195357</c:v>
                </c:pt>
                <c:pt idx="95">
                  <c:v>51.687641925518356</c:v>
                </c:pt>
                <c:pt idx="96">
                  <c:v>51.162937228170492</c:v>
                </c:pt>
                <c:pt idx="97">
                  <c:v>50.636255957161467</c:v>
                </c:pt>
                <c:pt idx="98">
                  <c:v>50.107703637689148</c:v>
                </c:pt>
                <c:pt idx="99">
                  <c:v>49.577360627121877</c:v>
                </c:pt>
                <c:pt idx="100">
                  <c:v>49.045283003991727</c:v>
                </c:pt>
                <c:pt idx="101">
                  <c:v>48.511503247987434</c:v>
                </c:pt>
                <c:pt idx="102">
                  <c:v>47.976030712572445</c:v>
                </c:pt>
                <c:pt idx="103">
                  <c:v>47.438851896183905</c:v>
                </c:pt>
                <c:pt idx="104">
                  <c:v>46.899930522320545</c:v>
                </c:pt>
                <c:pt idx="105">
                  <c:v>46.359207443503507</c:v>
                </c:pt>
                <c:pt idx="106">
                  <c:v>45.816600389426199</c:v>
                </c:pt>
                <c:pt idx="107">
                  <c:v>45.272003585888953</c:v>
                </c:pt>
                <c:pt idx="108">
                  <c:v>44.725287278640749</c:v>
                </c:pt>
                <c:pt idx="109">
                  <c:v>44.176297205291235</c:v>
                </c:pt>
                <c:pt idx="110">
                  <c:v>43.624854069223282</c:v>
                </c:pt>
                <c:pt idx="111">
                  <c:v>43.070753082087201</c:v>
                </c:pt>
                <c:pt idx="112">
                  <c:v>42.513763655983098</c:v>
                </c:pt>
                <c:pt idx="113">
                  <c:v>41.953629342704986</c:v>
                </c:pt>
                <c:pt idx="114">
                  <c:v>41.390068134973305</c:v>
                </c:pt>
                <c:pt idx="115">
                  <c:v>40.822773262678133</c:v>
                </c:pt>
                <c:pt idx="116">
                  <c:v>40.251414634553029</c:v>
                </c:pt>
                <c:pt idx="117">
                  <c:v>39.675641090674475</c:v>
                </c:pt>
                <c:pt idx="118">
                  <c:v>39.095083641356425</c:v>
                </c:pt>
                <c:pt idx="119">
                  <c:v>38.509359870414315</c:v>
                </c:pt>
                <c:pt idx="120">
                  <c:v>37.918079671855168</c:v>
                </c:pt>
                <c:pt idx="121">
                  <c:v>37.320852464905464</c:v>
                </c:pt>
                <c:pt idx="122">
                  <c:v>36.717295988984603</c:v>
                </c:pt>
                <c:pt idx="123">
                  <c:v>36.107046714401164</c:v>
                </c:pt>
                <c:pt idx="124">
                  <c:v>35.489771814100429</c:v>
                </c:pt>
                <c:pt idx="125">
                  <c:v>34.865182526840151</c:v>
                </c:pt>
                <c:pt idx="126">
                  <c:v>34.233048605926598</c:v>
                </c:pt>
                <c:pt idx="127">
                  <c:v>33.593213397226336</c:v>
                </c:pt>
                <c:pt idx="128">
                  <c:v>32.945608936957427</c:v>
                </c:pt>
                <c:pt idx="129">
                  <c:v>32.29027031916381</c:v>
                </c:pt>
                <c:pt idx="130">
                  <c:v>31.627348473108768</c:v>
                </c:pt>
                <c:pt idx="131">
                  <c:v>30.957120431302144</c:v>
                </c:pt>
                <c:pt idx="132">
                  <c:v>30.279996176881799</c:v>
                </c:pt>
                <c:pt idx="133">
                  <c:v>29.596521246986136</c:v>
                </c:pt>
                <c:pt idx="134">
                  <c:v>28.907374441095815</c:v>
                </c:pt>
                <c:pt idx="135">
                  <c:v>28.213360234713992</c:v>
                </c:pt>
                <c:pt idx="136">
                  <c:v>27.515395813311347</c:v>
                </c:pt>
                <c:pt idx="137">
                  <c:v>26.814492993958581</c:v>
                </c:pt>
                <c:pt idx="138">
                  <c:v>26.111735660575512</c:v>
                </c:pt>
                <c:pt idx="139">
                  <c:v>25.408253668525283</c:v>
                </c:pt>
                <c:pt idx="140">
                  <c:v>24.705194442164363</c:v>
                </c:pt>
                <c:pt idx="141">
                  <c:v>24.003693667379746</c:v>
                </c:pt>
                <c:pt idx="142">
                  <c:v>23.304846551539377</c:v>
                </c:pt>
                <c:pt idx="143">
                  <c:v>22.609681078309752</c:v>
                </c:pt>
                <c:pt idx="144">
                  <c:v>21.919134529118885</c:v>
                </c:pt>
                <c:pt idx="145">
                  <c:v>21.234034292882278</c:v>
                </c:pt>
                <c:pt idx="146">
                  <c:v>20.555083666740352</c:v>
                </c:pt>
                <c:pt idx="147">
                  <c:v>19.882852995253778</c:v>
                </c:pt>
                <c:pt idx="148">
                  <c:v>19.217776138545062</c:v>
                </c:pt>
                <c:pt idx="149">
                  <c:v>18.560151934145431</c:v>
                </c:pt>
                <c:pt idx="150">
                  <c:v>17.910150049835678</c:v>
                </c:pt>
                <c:pt idx="151">
                  <c:v>17.267820433676352</c:v>
                </c:pt>
                <c:pt idx="152">
                  <c:v>16.633105460429235</c:v>
                </c:pt>
                <c:pt idx="153">
                  <c:v>16.005853848252386</c:v>
                </c:pt>
                <c:pt idx="154">
                  <c:v>15.385835465031466</c:v>
                </c:pt>
                <c:pt idx="155">
                  <c:v>14.77275624346529</c:v>
                </c:pt>
                <c:pt idx="156">
                  <c:v>14.166272558974084</c:v>
                </c:pt>
                <c:pt idx="157">
                  <c:v>13.566004575914317</c:v>
                </c:pt>
                <c:pt idx="158">
                  <c:v>12.971548219286195</c:v>
                </c:pt>
                <c:pt idx="159">
                  <c:v>12.382485568759042</c:v>
                </c:pt>
                <c:pt idx="160">
                  <c:v>11.798393591367457</c:v>
                </c:pt>
                <c:pt idx="161">
                  <c:v>11.218851224607326</c:v>
                </c:pt>
                <c:pt idx="162">
                  <c:v>10.64344489215328</c:v>
                </c:pt>
                <c:pt idx="163">
                  <c:v>10.071772581710068</c:v>
                </c:pt>
                <c:pt idx="164">
                  <c:v>9.5034466417357883</c:v>
                </c:pt>
                <c:pt idx="165">
                  <c:v>8.9380954648105782</c:v>
                </c:pt>
                <c:pt idx="166">
                  <c:v>8.3753642242013484</c:v>
                </c:pt>
                <c:pt idx="167">
                  <c:v>7.8149148203566599</c:v>
                </c:pt>
                <c:pt idx="168">
                  <c:v>7.2564251787736112</c:v>
                </c:pt>
                <c:pt idx="169">
                  <c:v>6.699588022411902</c:v>
                </c:pt>
                <c:pt idx="170">
                  <c:v>6.1441092224955742</c:v>
                </c:pt>
                <c:pt idx="171">
                  <c:v>5.5897058124825048</c:v>
                </c:pt>
                <c:pt idx="172">
                  <c:v>5.0361037320914415</c:v>
                </c:pt>
                <c:pt idx="173">
                  <c:v>4.4830353521003934</c:v>
                </c:pt>
                <c:pt idx="174">
                  <c:v>3.9302368164414982</c:v>
                </c:pt>
                <c:pt idx="175">
                  <c:v>3.3774452260276773</c:v>
                </c:pt>
                <c:pt idx="176">
                  <c:v>2.8243956787299691</c:v>
                </c:pt>
                <c:pt idx="177">
                  <c:v>2.2708181719439704</c:v>
                </c:pt>
                <c:pt idx="178">
                  <c:v>1.7164343681340322</c:v>
                </c:pt>
                <c:pt idx="179">
                  <c:v>1.1609542195824982</c:v>
                </c:pt>
                <c:pt idx="180">
                  <c:v>0.60407244626646417</c:v>
                </c:pt>
                <c:pt idx="181">
                  <c:v>4.54648603682557E-2</c:v>
                </c:pt>
                <c:pt idx="182">
                  <c:v>-0.51521546751086511</c:v>
                </c:pt>
                <c:pt idx="183">
                  <c:v>-1.0783422016527044</c:v>
                </c:pt>
                <c:pt idx="184">
                  <c:v>-1.6443198891757316</c:v>
                </c:pt>
                <c:pt idx="185">
                  <c:v>-2.2135882490099963</c:v>
                </c:pt>
                <c:pt idx="186">
                  <c:v>-2.786626576478529</c:v>
                </c:pt>
                <c:pt idx="187">
                  <c:v>-3.3639582228643476</c:v>
                </c:pt>
                <c:pt idx="188">
                  <c:v>-3.9461550903490146</c:v>
                </c:pt>
                <c:pt idx="189">
                  <c:v>-4.5338420595754112</c:v>
                </c:pt>
                <c:pt idx="190">
                  <c:v>-5.1277012396351669</c:v>
                </c:pt>
                <c:pt idx="191">
                  <c:v>-5.7284758984817383</c:v>
                </c:pt>
                <c:pt idx="192">
                  <c:v>-6.3369738960208295</c:v>
                </c:pt>
                <c:pt idx="193">
                  <c:v>-6.9540704032561109</c:v>
                </c:pt>
                <c:pt idx="194">
                  <c:v>-7.5807096504001077</c:v>
                </c:pt>
                <c:pt idx="195">
                  <c:v>-8.2179054071846647</c:v>
                </c:pt>
                <c:pt idx="196">
                  <c:v>-8.8667398631031134</c:v>
                </c:pt>
                <c:pt idx="197">
                  <c:v>-9.5283605485303955</c:v>
                </c:pt>
                <c:pt idx="198">
                  <c:v>-10.203974925250238</c:v>
                </c:pt>
                <c:pt idx="199">
                  <c:v>-10.894842283517832</c:v>
                </c:pt>
                <c:pt idx="200">
                  <c:v>-11.602262619579726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88928"/>
        <c:axId val="61790464"/>
      </c:scatterChart>
      <c:valAx>
        <c:axId val="61788928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790464"/>
        <c:crosses val="autoZero"/>
        <c:crossBetween val="midCat"/>
      </c:valAx>
      <c:valAx>
        <c:axId val="61790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7889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64747209629098E-2"/>
          <c:y val="3.9475614495016076E-2"/>
          <c:w val="0.86969495479731695"/>
          <c:h val="0.87145186451041434"/>
        </c:manualLayout>
      </c:layout>
      <c:scatterChart>
        <c:scatterStyle val="lineMarker"/>
        <c:varyColors val="0"/>
        <c:ser>
          <c:idx val="2"/>
          <c:order val="0"/>
          <c:tx>
            <c:strRef>
              <c:f>'Minimum Vin'!$D$7</c:f>
              <c:strCache>
                <c:ptCount val="1"/>
                <c:pt idx="0">
                  <c:v>Vin min @ 2MHz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'Minimum Vin'!$C$8:$C$16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</c:numCache>
            </c:numRef>
          </c:xVal>
          <c:yVal>
            <c:numRef>
              <c:f>'Minimum Vin'!$D$8:$D$16</c:f>
              <c:numCache>
                <c:formatCode>0.00</c:formatCode>
                <c:ptCount val="9"/>
                <c:pt idx="0">
                  <c:v>3.7216666666666667</c:v>
                </c:pt>
                <c:pt idx="1">
                  <c:v>3.7766666666666664</c:v>
                </c:pt>
                <c:pt idx="2">
                  <c:v>3.9416666666666664</c:v>
                </c:pt>
                <c:pt idx="3">
                  <c:v>4.1066666666666665</c:v>
                </c:pt>
                <c:pt idx="4">
                  <c:v>4.2166666666666668</c:v>
                </c:pt>
                <c:pt idx="5">
                  <c:v>4.3266666666666662</c:v>
                </c:pt>
                <c:pt idx="6">
                  <c:v>4.4916666666666663</c:v>
                </c:pt>
                <c:pt idx="7">
                  <c:v>4.6566666666666663</c:v>
                </c:pt>
                <c:pt idx="8">
                  <c:v>4.7666666666666666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'Minimum Vin'!$E$7</c:f>
              <c:strCache>
                <c:ptCount val="1"/>
                <c:pt idx="0">
                  <c:v>Vin min (loss of reg)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'Minimum Vin'!$C$8:$C$16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</c:numCache>
            </c:numRef>
          </c:xVal>
          <c:yVal>
            <c:numRef>
              <c:f>'Minimum Vin'!$E$8:$E$16</c:f>
              <c:numCache>
                <c:formatCode>0.00</c:formatCode>
                <c:ptCount val="9"/>
                <c:pt idx="0">
                  <c:v>3.4746891191709848</c:v>
                </c:pt>
                <c:pt idx="1">
                  <c:v>3.5296891191709845</c:v>
                </c:pt>
                <c:pt idx="2">
                  <c:v>3.6946891191709845</c:v>
                </c:pt>
                <c:pt idx="3">
                  <c:v>3.8596891191709846</c:v>
                </c:pt>
                <c:pt idx="4">
                  <c:v>3.9696891191709849</c:v>
                </c:pt>
                <c:pt idx="5">
                  <c:v>4.0796891191709843</c:v>
                </c:pt>
                <c:pt idx="6">
                  <c:v>4.2446891191709843</c:v>
                </c:pt>
                <c:pt idx="7">
                  <c:v>4.4096891191709844</c:v>
                </c:pt>
                <c:pt idx="8">
                  <c:v>4.5196891191709847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05344"/>
        <c:axId val="117723520"/>
      </c:scatterChart>
      <c:valAx>
        <c:axId val="117705344"/>
        <c:scaling>
          <c:orientation val="minMax"/>
          <c:max val="2.0499999999999998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2540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723520"/>
        <c:crosses val="autoZero"/>
        <c:crossBetween val="midCat"/>
        <c:majorUnit val="0.2"/>
      </c:valAx>
      <c:valAx>
        <c:axId val="1177235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25400"/>
        </c:spPr>
        <c:crossAx val="117705344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66358169641606191"/>
          <c:y val="0.41081630618957438"/>
          <c:w val="0.26141171855297451"/>
          <c:h val="0.12858952124655304"/>
        </c:manualLayout>
      </c:layout>
      <c:overlay val="0"/>
      <c:spPr>
        <a:solidFill>
          <a:schemeClr val="bg1"/>
        </a:solidFill>
        <a:ln w="25400"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UseLDO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20171</xdr:colOff>
      <xdr:row>32</xdr:row>
      <xdr:rowOff>72279</xdr:rowOff>
    </xdr:from>
    <xdr:to>
      <xdr:col>23</xdr:col>
      <xdr:colOff>1647824</xdr:colOff>
      <xdr:row>48</xdr:row>
      <xdr:rowOff>371475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22414</xdr:colOff>
      <xdr:row>17</xdr:row>
      <xdr:rowOff>68917</xdr:rowOff>
    </xdr:from>
    <xdr:to>
      <xdr:col>23</xdr:col>
      <xdr:colOff>1666876</xdr:colOff>
      <xdr:row>32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1660152</xdr:colOff>
      <xdr:row>32</xdr:row>
      <xdr:rowOff>81802</xdr:rowOff>
    </xdr:from>
    <xdr:to>
      <xdr:col>51</xdr:col>
      <xdr:colOff>552450</xdr:colOff>
      <xdr:row>48</xdr:row>
      <xdr:rowOff>371475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1661833</xdr:colOff>
      <xdr:row>17</xdr:row>
      <xdr:rowOff>66676</xdr:rowOff>
    </xdr:from>
    <xdr:to>
      <xdr:col>51</xdr:col>
      <xdr:colOff>552450</xdr:colOff>
      <xdr:row>32</xdr:row>
      <xdr:rowOff>67236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19050</xdr:colOff>
      <xdr:row>32</xdr:row>
      <xdr:rowOff>67236</xdr:rowOff>
    </xdr:from>
    <xdr:to>
      <xdr:col>14</xdr:col>
      <xdr:colOff>0</xdr:colOff>
      <xdr:row>48</xdr:row>
      <xdr:rowOff>371475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14566</xdr:colOff>
      <xdr:row>17</xdr:row>
      <xdr:rowOff>71158</xdr:rowOff>
    </xdr:from>
    <xdr:to>
      <xdr:col>14</xdr:col>
      <xdr:colOff>0</xdr:colOff>
      <xdr:row>32</xdr:row>
      <xdr:rowOff>61633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8</xdr:col>
      <xdr:colOff>0</xdr:colOff>
      <xdr:row>50</xdr:row>
      <xdr:rowOff>0</xdr:rowOff>
    </xdr:from>
    <xdr:ext cx="3318088" cy="280205"/>
    <xdr:sp macro="" textlink="">
      <xdr:nvSpPr>
        <xdr:cNvPr id="8" name="TextBox 7"/>
        <xdr:cNvSpPr txBox="1"/>
      </xdr:nvSpPr>
      <xdr:spPr>
        <a:xfrm>
          <a:off x="7448550" y="10125075"/>
          <a:ext cx="3318088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1200" b="1"/>
            <a:t>Closed loop Bode plot (for phase margin reading)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261939</xdr:colOff>
      <xdr:row>36</xdr:row>
      <xdr:rowOff>0</xdr:rowOff>
    </xdr:from>
    <xdr:to>
      <xdr:col>1</xdr:col>
      <xdr:colOff>490539</xdr:colOff>
      <xdr:row>37</xdr:row>
      <xdr:rowOff>38100</xdr:rowOff>
    </xdr:to>
    <xdr:sp macro="" textlink="">
      <xdr:nvSpPr>
        <xdr:cNvPr id="2" name="Rounded Rectangle 1"/>
        <xdr:cNvSpPr/>
      </xdr:nvSpPr>
      <xdr:spPr>
        <a:xfrm>
          <a:off x="452439" y="4400550"/>
          <a:ext cx="228600" cy="228600"/>
        </a:xfrm>
        <a:prstGeom prst="roundRect">
          <a:avLst/>
        </a:prstGeom>
        <a:solidFill>
          <a:srgbClr val="00FFFF"/>
        </a:solidFill>
        <a:ln>
          <a:solidFill>
            <a:srgbClr val="00FFFF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35</xdr:row>
          <xdr:rowOff>133350</xdr:rowOff>
        </xdr:from>
        <xdr:to>
          <xdr:col>1</xdr:col>
          <xdr:colOff>571500</xdr:colOff>
          <xdr:row>37</xdr:row>
          <xdr:rowOff>66675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18</xdr:row>
      <xdr:rowOff>28575</xdr:rowOff>
    </xdr:from>
    <xdr:to>
      <xdr:col>7</xdr:col>
      <xdr:colOff>114300</xdr:colOff>
      <xdr:row>37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semi.com/890100/Copy%20of%20NCV8901_DWS,X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CV8901XXMAXAMBTEM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CV8901XX-02XXMINV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troduction"/>
      <sheetName val="2. Design Parameters"/>
      <sheetName val="3. Feedback Resistors"/>
      <sheetName val="3. Boost Inductor"/>
      <sheetName val="4. Current Sense Resistor"/>
      <sheetName val="5. Output Capacitors"/>
      <sheetName val="Input Capacitor"/>
      <sheetName val="6. Diode"/>
      <sheetName val="7. MOSFET"/>
      <sheetName val="8. Loop Compensation"/>
      <sheetName val="Design Information"/>
      <sheetName val="Calculations"/>
      <sheetName val="Sheet1"/>
    </sheetNames>
    <sheetDataSet>
      <sheetData sheetId="0" refreshError="1"/>
      <sheetData sheetId="1" refreshError="1"/>
      <sheetData sheetId="2" refreshError="1"/>
      <sheetData sheetId="3">
        <row r="12">
          <cell r="B12">
            <v>2.08E-6</v>
          </cell>
        </row>
      </sheetData>
      <sheetData sheetId="4" refreshError="1"/>
      <sheetData sheetId="5">
        <row r="15">
          <cell r="C15">
            <v>1.0416666666666666E-2</v>
          </cell>
        </row>
      </sheetData>
      <sheetData sheetId="6" refreshError="1"/>
      <sheetData sheetId="7" refreshError="1"/>
      <sheetData sheetId="8" refreshError="1"/>
      <sheetData sheetId="9">
        <row r="1">
          <cell r="AQ1" t="str">
            <v>°</v>
          </cell>
        </row>
        <row r="2">
          <cell r="Z2">
            <v>1</v>
          </cell>
          <cell r="AI2">
            <v>-0.23927531200898353</v>
          </cell>
        </row>
        <row r="3">
          <cell r="Z3">
            <v>1.0634378492473788</v>
          </cell>
          <cell r="AI3">
            <v>-0.25445422772829379</v>
          </cell>
        </row>
        <row r="4">
          <cell r="Z4">
            <v>1.1309000592118907</v>
          </cell>
          <cell r="AI4">
            <v>-0.27059602160855623</v>
          </cell>
        </row>
        <row r="5">
          <cell r="Z5">
            <v>1.2026419266820265</v>
          </cell>
          <cell r="AI5">
            <v>-0.28776176854376251</v>
          </cell>
        </row>
        <row r="6">
          <cell r="Z6">
            <v>1.278934943925458</v>
          </cell>
          <cell r="AI6">
            <v>-0.30601641626158638</v>
          </cell>
        </row>
        <row r="7">
          <cell r="Z7">
            <v>1.3600678260954062</v>
          </cell>
          <cell r="AI7">
            <v>-0.32542903067810408</v>
          </cell>
        </row>
        <row r="8">
          <cell r="Z8">
            <v>1.4463476038134566</v>
          </cell>
          <cell r="AI8">
            <v>-0.34607305675054162</v>
          </cell>
        </row>
        <row r="9">
          <cell r="Z9">
            <v>1.5381007850634825</v>
          </cell>
          <cell r="AI9">
            <v>-0.36802659579766672</v>
          </cell>
        </row>
        <row r="10">
          <cell r="Z10">
            <v>1.6356745907936145</v>
          </cell>
          <cell r="AI10">
            <v>-0.39137270031624344</v>
          </cell>
        </row>
        <row r="11">
          <cell r="Z11">
            <v>1.7394382689021479</v>
          </cell>
          <cell r="AI11">
            <v>-0.41619968738389718</v>
          </cell>
        </row>
        <row r="12">
          <cell r="Z12">
            <v>1.849784491579884</v>
          </cell>
          <cell r="AI12">
            <v>-0.44260147180396053</v>
          </cell>
        </row>
        <row r="13">
          <cell r="Z13">
            <v>1.967130841296868</v>
          </cell>
          <cell r="AI13">
            <v>-0.4706779202164183</v>
          </cell>
        </row>
        <row r="14">
          <cell r="Z14">
            <v>2.0919213910569279</v>
          </cell>
          <cell r="AI14">
            <v>-0.50053522747096824</v>
          </cell>
        </row>
        <row r="15">
          <cell r="Z15">
            <v>2.2246283849001642</v>
          </cell>
          <cell r="AI15">
            <v>-0.53228631663358184</v>
          </cell>
        </row>
        <row r="16">
          <cell r="Z16">
            <v>2.365754025012901</v>
          </cell>
          <cell r="AI16">
            <v>-0.56605126407666728</v>
          </cell>
        </row>
        <row r="17">
          <cell r="Z17">
            <v>2.5158323722080485</v>
          </cell>
          <cell r="AI17">
            <v>-0.60195775118496531</v>
          </cell>
        </row>
        <row r="18">
          <cell r="Z18">
            <v>2.6754313669678584</v>
          </cell>
          <cell r="AI18">
            <v>-0.64014154429451198</v>
          </cell>
        </row>
        <row r="19">
          <cell r="Z19">
            <v>2.8451549786972743</v>
          </cell>
          <cell r="AI19">
            <v>-0.68074700457035575</v>
          </cell>
        </row>
        <row r="20">
          <cell r="Z20">
            <v>3.0256454913213009</v>
          </cell>
          <cell r="AI20">
            <v>-0.72392762961934531</v>
          </cell>
        </row>
        <row r="21">
          <cell r="Z21">
            <v>3.2175859338757533</v>
          </cell>
          <cell r="AI21">
            <v>-0.7698466287279716</v>
          </cell>
        </row>
        <row r="22">
          <cell r="Z22">
            <v>3.42170266528945</v>
          </cell>
          <cell r="AI22">
            <v>-0.81867753370958052</v>
          </cell>
        </row>
        <row r="23">
          <cell r="Z23">
            <v>3.6387681231394358</v>
          </cell>
          <cell r="AI23">
            <v>-0.87060484744162547</v>
          </cell>
        </row>
        <row r="24">
          <cell r="Z24">
            <v>3.8696037467813236</v>
          </cell>
          <cell r="AI24">
            <v>-0.92582473226935946</v>
          </cell>
        </row>
        <row r="25">
          <cell r="Z25">
            <v>4.1150830859167291</v>
          </cell>
          <cell r="AI25">
            <v>-0.98454574054702648</v>
          </cell>
        </row>
        <row r="26">
          <cell r="Z26">
            <v>4.376135106361553</v>
          </cell>
          <cell r="AI26">
            <v>-1.046989589679993</v>
          </cell>
        </row>
        <row r="27">
          <cell r="Z27">
            <v>4.6537477055250784</v>
          </cell>
          <cell r="AI27">
            <v>-1.1133919841180082</v>
          </cell>
        </row>
        <row r="28">
          <cell r="Z28">
            <v>4.9489714509035139</v>
          </cell>
          <cell r="AI28">
            <v>-1.184003486830947</v>
          </cell>
        </row>
        <row r="29">
          <cell r="Z29">
            <v>5.2629235557355134</v>
          </cell>
          <cell r="AI29">
            <v>-1.25909044286813</v>
          </cell>
        </row>
        <row r="30">
          <cell r="Z30">
            <v>5.5967921068647417</v>
          </cell>
          <cell r="AI30">
            <v>-1.3389359576592914</v>
          </cell>
        </row>
        <row r="31">
          <cell r="Z31">
            <v>5.9518405608089449</v>
          </cell>
          <cell r="AI31">
            <v>-1.423840932754149</v>
          </cell>
        </row>
        <row r="32">
          <cell r="Z32">
            <v>6.3294125250499764</v>
          </cell>
          <cell r="AI32">
            <v>-1.5141251617122169</v>
          </cell>
        </row>
        <row r="33">
          <cell r="Z33">
            <v>6.7309368426385694</v>
          </cell>
          <cell r="AI33">
            <v>-1.6101284888399865</v>
          </cell>
        </row>
        <row r="34">
          <cell r="Z34">
            <v>7.1579329993555039</v>
          </cell>
          <cell r="AI34">
            <v>-1.7122120334188695</v>
          </cell>
        </row>
        <row r="35">
          <cell r="Z35">
            <v>7.6120168738914558</v>
          </cell>
          <cell r="AI35">
            <v>-1.820759481966252</v>
          </cell>
        </row>
        <row r="36">
          <cell r="Z36">
            <v>8.0949068528058863</v>
          </cell>
          <cell r="AI36">
            <v>-1.9361784509111435</v>
          </cell>
        </row>
        <row r="37">
          <cell r="Z37">
            <v>8.6084303334057619</v>
          </cell>
          <cell r="AI37">
            <v>-2.0589019218305231</v>
          </cell>
        </row>
        <row r="38">
          <cell r="Z38">
            <v>9.1545306391529166</v>
          </cell>
          <cell r="AI38">
            <v>-2.1893897510670457</v>
          </cell>
        </row>
        <row r="39">
          <cell r="Z39">
            <v>9.7352743737700074</v>
          </cell>
          <cell r="AI39">
            <v>-2.3281302551108847</v>
          </cell>
        </row>
        <row r="40">
          <cell r="Z40">
            <v>10.352859241875105</v>
          </cell>
          <cell r="AI40">
            <v>-2.4756418725558538</v>
          </cell>
        </row>
        <row r="41">
          <cell r="Z41">
            <v>11.009622365740512</v>
          </cell>
          <cell r="AI41">
            <v>-2.6324749027012446</v>
          </cell>
        </row>
        <row r="42">
          <cell r="Z42">
            <v>11.708049129648925</v>
          </cell>
          <cell r="AI42">
            <v>-2.7992133199336693</v>
          </cell>
        </row>
        <row r="43">
          <cell r="Z43">
            <v>12.4507825853165</v>
          </cell>
          <cell r="AI43">
            <v>-2.9764766618443934</v>
          </cell>
        </row>
        <row r="44">
          <cell r="Z44">
            <v>13.240633453975693</v>
          </cell>
          <cell r="AI44">
            <v>-3.164921987570589</v>
          </cell>
        </row>
        <row r="45">
          <cell r="Z45">
            <v>14.080590762968805</v>
          </cell>
          <cell r="AI45">
            <v>-3.3652459010351654</v>
          </cell>
        </row>
        <row r="46">
          <cell r="Z46">
            <v>14.973833157104059</v>
          </cell>
          <cell r="AI46">
            <v>-3.5781866315330149</v>
          </cell>
        </row>
        <row r="47">
          <cell r="Z47">
            <v>15.923740927579823</v>
          </cell>
          <cell r="AI47">
            <v>-3.804526161393651</v>
          </cell>
        </row>
        <row r="48">
          <cell r="Z48">
            <v>16.933908803997952</v>
          </cell>
          <cell r="AI48">
            <v>-4.0450923871503175</v>
          </cell>
        </row>
        <row r="49">
          <cell r="Z49">
            <v>18.008159557874837</v>
          </cell>
          <cell r="AI49">
            <v>-4.3007612966594388</v>
          </cell>
        </row>
        <row r="50">
          <cell r="Z50">
            <v>19.150558469130036</v>
          </cell>
          <cell r="AI50">
            <v>-4.5724591398221559</v>
          </cell>
        </row>
        <row r="51">
          <cell r="Z51">
            <v>20.365428710297824</v>
          </cell>
          <cell r="AI51">
            <v>-4.8611645648267992</v>
          </cell>
        </row>
        <row r="52">
          <cell r="Z52">
            <v>21.657367706679931</v>
          </cell>
          <cell r="AI52">
            <v>-5.1679106850031022</v>
          </cell>
        </row>
        <row r="53">
          <cell r="Z53">
            <v>23.031264534351347</v>
          </cell>
          <cell r="AI53">
            <v>-5.4937870332934695</v>
          </cell>
        </row>
        <row r="54">
          <cell r="Z54">
            <v>24.492318421858034</v>
          </cell>
          <cell r="AI54">
            <v>-5.8399413518123824</v>
          </cell>
        </row>
        <row r="55">
          <cell r="Z55">
            <v>26.046058425622668</v>
          </cell>
          <cell r="AI55">
            <v>-6.2075811528007314</v>
          </cell>
        </row>
        <row r="56">
          <cell r="Z56">
            <v>27.698364353515743</v>
          </cell>
          <cell r="AI56">
            <v>-6.5979749742753002</v>
          </cell>
        </row>
        <row r="57">
          <cell r="Z57">
            <v>29.45548901577305</v>
          </cell>
          <cell r="AI57">
            <v>-7.0124532386473106</v>
          </cell>
        </row>
        <row r="58">
          <cell r="Z58">
            <v>31.324081887463471</v>
          </cell>
          <cell r="AI58">
            <v>-7.4524086053463705</v>
          </cell>
        </row>
        <row r="59">
          <cell r="Z59">
            <v>33.311214272052936</v>
          </cell>
          <cell r="AI59">
            <v>-7.9192956889129551</v>
          </cell>
        </row>
        <row r="60">
          <cell r="Z60">
            <v>35.424406061290533</v>
          </cell>
          <cell r="AI60">
            <v>-8.4146299920454517</v>
          </cell>
        </row>
        <row r="61">
          <cell r="Z61">
            <v>37.67165419268462</v>
          </cell>
          <cell r="AI61">
            <v>-8.9399858787311821</v>
          </cell>
        </row>
        <row r="62">
          <cell r="Z62">
            <v>40.061462912259522</v>
          </cell>
          <cell r="AI62">
            <v>-9.4969933860733207</v>
          </cell>
        </row>
        <row r="63">
          <cell r="Z63">
            <v>42.602875957116908</v>
          </cell>
          <cell r="AI63">
            <v>-10.087333645138447</v>
          </cell>
        </row>
        <row r="64">
          <cell r="Z64">
            <v>45.305510779589277</v>
          </cell>
          <cell r="AI64">
            <v>-10.71273265184063</v>
          </cell>
        </row>
        <row r="65">
          <cell r="Z65">
            <v>48.179594942500358</v>
          </cell>
          <cell r="AI65">
            <v>-11.374953099657228</v>
          </cell>
        </row>
        <row r="66">
          <cell r="Z66">
            <v>51.236004823262483</v>
          </cell>
          <cell r="AI66">
            <v>-12.075783958499066</v>
          </cell>
        </row>
        <row r="67">
          <cell r="Z67">
            <v>54.486306773278585</v>
          </cell>
          <cell r="AI67">
            <v>-12.817027460634787</v>
          </cell>
        </row>
        <row r="68">
          <cell r="Z68">
            <v>57.94280088840825</v>
          </cell>
          <cell r="AI68">
            <v>-13.600483138279156</v>
          </cell>
        </row>
        <row r="69">
          <cell r="Z69">
            <v>61.61856755613799</v>
          </cell>
          <cell r="AI69">
            <v>-14.427928552311434</v>
          </cell>
        </row>
        <row r="70">
          <cell r="Z70">
            <v>65.527516955603716</v>
          </cell>
          <cell r="AI70">
            <v>-15.301096362582202</v>
          </cell>
        </row>
        <row r="71">
          <cell r="Z71">
            <v>69.684441697788372</v>
          </cell>
          <cell r="AI71">
            <v>-16.221647423442462</v>
          </cell>
        </row>
        <row r="72">
          <cell r="Z72">
            <v>74.105072805100434</v>
          </cell>
          <cell r="AI72">
            <v>-17.191139650437155</v>
          </cell>
        </row>
        <row r="73">
          <cell r="Z73">
            <v>78.806139242176371</v>
          </cell>
          <cell r="AI73">
            <v>-18.210992503162743</v>
          </cell>
        </row>
        <row r="74">
          <cell r="Z74">
            <v>83.805431223189501</v>
          </cell>
          <cell r="AI74">
            <v>-19.282447072840149</v>
          </cell>
        </row>
        <row r="75">
          <cell r="Z75">
            <v>89.121867535237712</v>
          </cell>
          <cell r="AI75">
            <v>-20.406521958198322</v>
          </cell>
        </row>
        <row r="76">
          <cell r="Z76">
            <v>94.775567132582992</v>
          </cell>
          <cell r="AI76">
            <v>-21.583965364858773</v>
          </cell>
        </row>
        <row r="77">
          <cell r="Z77">
            <v>100.78792527267464</v>
          </cell>
          <cell r="AI77">
            <v>-22.81520417296024</v>
          </cell>
        </row>
        <row r="78">
          <cell r="Z78">
            <v>107.18169448207877</v>
          </cell>
          <cell r="AI78">
            <v>-24.100291081113195</v>
          </cell>
        </row>
        <row r="79">
          <cell r="Z79">
            <v>113.98107065871142</v>
          </cell>
          <cell r="AI79">
            <v>-25.438851339921477</v>
          </cell>
        </row>
        <row r="80">
          <cell r="Z80">
            <v>121.21178463621371</v>
          </cell>
          <cell r="AI80">
            <v>-26.830031013502186</v>
          </cell>
        </row>
        <row r="81">
          <cell r="Z81">
            <v>128.90119955697148</v>
          </cell>
          <cell r="AI81">
            <v>-28.2724491196645</v>
          </cell>
        </row>
        <row r="82">
          <cell r="Z82">
            <v>137.07841442227294</v>
          </cell>
          <cell r="AI82">
            <v>-29.764156354399585</v>
          </cell>
        </row>
        <row r="83">
          <cell r="Z83">
            <v>145.77437421146283</v>
          </cell>
          <cell r="AI83">
            <v>-31.30260335043091</v>
          </cell>
        </row>
        <row r="84">
          <cell r="Z84">
            <v>155.02198698682062</v>
          </cell>
          <cell r="AI84">
            <v>-32.884621494262198</v>
          </cell>
        </row>
        <row r="85">
          <cell r="Z85">
            <v>164.85624842731968</v>
          </cell>
          <cell r="AI85">
            <v>-34.506419175507403</v>
          </cell>
        </row>
        <row r="86">
          <cell r="Z86">
            <v>175.3143742625403</v>
          </cell>
          <cell r="AI86">
            <v>-36.163595922812732</v>
          </cell>
        </row>
        <row r="87">
          <cell r="Z87">
            <v>186.43594110790573</v>
          </cell>
          <cell r="AI87">
            <v>-37.851176172540072</v>
          </cell>
        </row>
        <row r="88">
          <cell r="Z88">
            <v>198.26303623420247</v>
          </cell>
          <cell r="AI88">
            <v>-39.563663433664836</v>
          </cell>
        </row>
        <row r="89">
          <cell r="Z89">
            <v>210.84041683815525</v>
          </cell>
          <cell r="AI89">
            <v>-41.295114409760536</v>
          </cell>
        </row>
        <row r="90">
          <cell r="Z90">
            <v>224.21567941678887</v>
          </cell>
          <cell r="AI90">
            <v>-43.039231312269678</v>
          </cell>
        </row>
        <row r="91">
          <cell r="Z91">
            <v>238.43943988652958</v>
          </cell>
          <cell r="AI91">
            <v>-44.789469277411179</v>
          </cell>
        </row>
        <row r="92">
          <cell r="Z92">
            <v>253.56552512868072</v>
          </cell>
          <cell r="AI92">
            <v>-46.539154628138981</v>
          </cell>
        </row>
        <row r="93">
          <cell r="Z93">
            <v>269.65117668612646</v>
          </cell>
          <cell r="AI93">
            <v>-48.281608843558757</v>
          </cell>
        </row>
        <row r="94">
          <cell r="Z94">
            <v>286.75726738211927</v>
          </cell>
          <cell r="AI94">
            <v>-50.010272623071856</v>
          </cell>
        </row>
        <row r="95">
          <cell r="Z95">
            <v>304.94853168089651</v>
          </cell>
          <cell r="AI95">
            <v>-51.71882442373402</v>
          </cell>
        </row>
        <row r="96">
          <cell r="Z96">
            <v>324.29381066187881</v>
          </cell>
          <cell r="AI96">
            <v>-53.401288308039852</v>
          </cell>
        </row>
        <row r="97">
          <cell r="Z97">
            <v>344.8663125345048</v>
          </cell>
          <cell r="AI97">
            <v>-55.05212680522385</v>
          </cell>
        </row>
        <row r="98">
          <cell r="Z98">
            <v>366.74388967956821</v>
          </cell>
          <cell r="AI98">
            <v>-56.666315651713774</v>
          </cell>
        </row>
        <row r="99">
          <cell r="Z99">
            <v>390.00933326545766</v>
          </cell>
          <cell r="AI99">
            <v>-58.239398595228124</v>
          </cell>
        </row>
        <row r="100">
          <cell r="Z100">
            <v>414.75068655422291</v>
          </cell>
          <cell r="AI100">
            <v>-59.767521775892071</v>
          </cell>
        </row>
        <row r="101">
          <cell r="Z101">
            <v>441.06157808309626</v>
          </cell>
          <cell r="AI101">
            <v>-61.247448406705416</v>
          </cell>
        </row>
        <row r="102">
          <cell r="Z102">
            <v>469.04157598234281</v>
          </cell>
          <cell r="AI102">
            <v>-62.676555467625604</v>
          </cell>
        </row>
        <row r="103">
          <cell r="Z103">
            <v>498.79656477026373</v>
          </cell>
          <cell r="AI103">
            <v>-64.052814846134225</v>
          </cell>
        </row>
        <row r="104">
          <cell r="Z104">
            <v>530.4391460512702</v>
          </cell>
          <cell r="AI104">
            <v>-65.374761786953115</v>
          </cell>
        </row>
        <row r="105">
          <cell r="Z105">
            <v>564.08906463337905</v>
          </cell>
          <cell r="AI105">
            <v>-66.641453673345225</v>
          </cell>
        </row>
        <row r="106">
          <cell r="Z106">
            <v>599.87366167768641</v>
          </cell>
          <cell r="AI106">
            <v>-67.852422094975836</v>
          </cell>
        </row>
        <row r="107">
          <cell r="Z107">
            <v>637.92835659466812</v>
          </cell>
          <cell r="AI107">
            <v>-69.00762091829327</v>
          </cell>
        </row>
        <row r="108">
          <cell r="Z108">
            <v>678.39715951094945</v>
          </cell>
          <cell r="AI108">
            <v>-70.107372723387442</v>
          </cell>
        </row>
        <row r="109">
          <cell r="Z109">
            <v>721.43321624585462</v>
          </cell>
          <cell r="AI109">
            <v>-71.152315560209431</v>
          </cell>
        </row>
        <row r="110">
          <cell r="Z110">
            <v>767.19938786011153</v>
          </cell>
          <cell r="AI110">
            <v>-72.143351551585368</v>
          </cell>
        </row>
        <row r="111">
          <cell r="Z111">
            <v>815.86886696986198</v>
          </cell>
          <cell r="AI111">
            <v>-73.081598464030833</v>
          </cell>
        </row>
        <row r="112">
          <cell r="Z112">
            <v>867.62583315832671</v>
          </cell>
          <cell r="AI112">
            <v>-73.968345002142044</v>
          </cell>
        </row>
        <row r="113">
          <cell r="Z113">
            <v>922.66614996535543</v>
          </cell>
          <cell r="AI113">
            <v>-74.805010270607582</v>
          </cell>
        </row>
        <row r="114">
          <cell r="Z114">
            <v>981.19810609251715</v>
          </cell>
          <cell r="AI114">
            <v>-75.593107594085268</v>
          </cell>
        </row>
        <row r="115">
          <cell r="Z115">
            <v>1043.443203628628</v>
          </cell>
          <cell r="AI115">
            <v>-76.334212688044772</v>
          </cell>
        </row>
        <row r="116">
          <cell r="Z116">
            <v>1109.6369962786232</v>
          </cell>
          <cell r="AI116">
            <v>-77.029936028281867</v>
          </cell>
        </row>
        <row r="117">
          <cell r="Z117">
            <v>1180.0299807678607</v>
          </cell>
          <cell r="AI117">
            <v>-77.681899166166332</v>
          </cell>
        </row>
        <row r="118">
          <cell r="Z118">
            <v>1254.8885447951977</v>
          </cell>
          <cell r="AI118">
            <v>-78.291714673095356</v>
          </cell>
        </row>
        <row r="119">
          <cell r="Z119">
            <v>1334.4959751221782</v>
          </cell>
          <cell r="AI119">
            <v>-78.86096936344515</v>
          </cell>
        </row>
        <row r="120">
          <cell r="Z120">
            <v>1419.1535296132129</v>
          </cell>
          <cell r="AI120">
            <v>-79.391210433554718</v>
          </cell>
        </row>
        <row r="121">
          <cell r="Z121">
            <v>1509.1815772837017</v>
          </cell>
          <cell r="AI121">
            <v>-79.883934158888508</v>
          </cell>
        </row>
        <row r="122">
          <cell r="Z122">
            <v>1604.9208106703452</v>
          </cell>
          <cell r="AI122">
            <v>-80.340576807448983</v>
          </cell>
        </row>
        <row r="123">
          <cell r="Z123">
            <v>1706.7335351116335</v>
          </cell>
          <cell r="AI123">
            <v>-80.762507450733835</v>
          </cell>
        </row>
        <row r="124">
          <cell r="Z124">
            <v>1815.0050398174897</v>
          </cell>
          <cell r="AI124">
            <v>-81.151022380927287</v>
          </cell>
        </row>
        <row r="125">
          <cell r="Z125">
            <v>1930.1450559166665</v>
          </cell>
          <cell r="AI125">
            <v>-81.507340872261963</v>
          </cell>
        </row>
        <row r="126">
          <cell r="Z126">
            <v>2052.58930699948</v>
          </cell>
          <cell r="AI126">
            <v>-81.832602053935204</v>
          </cell>
        </row>
        <row r="127">
          <cell r="Z127">
            <v>2182.8011580236971</v>
          </cell>
          <cell r="AI127">
            <v>-82.127862690454464</v>
          </cell>
        </row>
        <row r="128">
          <cell r="Z128">
            <v>2321.2733688234066</v>
          </cell>
          <cell r="AI128">
            <v>-82.394095692125092</v>
          </cell>
        </row>
        <row r="129">
          <cell r="Z129">
            <v>2468.5299588567814</v>
          </cell>
          <cell r="AI129">
            <v>-82.632189203144534</v>
          </cell>
        </row>
        <row r="130">
          <cell r="Z130">
            <v>2625.1281902493761</v>
          </cell>
          <cell r="AI130">
            <v>-82.842946137261421</v>
          </cell>
        </row>
        <row r="131">
          <cell r="Z131">
            <v>2791.6606766374607</v>
          </cell>
          <cell r="AI131">
            <v>-83.027084051166227</v>
          </cell>
        </row>
        <row r="132">
          <cell r="Z132">
            <v>2968.757625791824</v>
          </cell>
          <cell r="AI132">
            <v>-83.185235263807513</v>
          </cell>
        </row>
        <row r="133">
          <cell r="Z133">
            <v>3157.0892245088098</v>
          </cell>
          <cell r="AI133">
            <v>-83.317947145819645</v>
          </cell>
        </row>
        <row r="134">
          <cell r="Z134">
            <v>3357.3681747937244</v>
          </cell>
          <cell r="AI134">
            <v>-83.425682517438872</v>
          </cell>
        </row>
        <row r="135">
          <cell r="Z135">
            <v>3570.3523909342362</v>
          </cell>
          <cell r="AI135">
            <v>-83.508820105895026</v>
          </cell>
        </row>
        <row r="136">
          <cell r="Z136">
            <v>3796.8478676703417</v>
          </cell>
          <cell r="AI136">
            <v>-83.567655024558576</v>
          </cell>
        </row>
        <row r="137">
          <cell r="Z137">
            <v>4037.7117303148448</v>
          </cell>
          <cell r="AI137">
            <v>-83.602399246344902</v>
          </cell>
        </row>
        <row r="138">
          <cell r="Z138">
            <v>4293.8554783669315</v>
          </cell>
          <cell r="AI138">
            <v>-83.613182053292022</v>
          </cell>
        </row>
        <row r="139">
          <cell r="Z139">
            <v>4566.248434893605</v>
          </cell>
          <cell r="AI139">
            <v>-83.600050453082403</v>
          </cell>
        </row>
        <row r="140">
          <cell r="Z140">
            <v>4855.9214147324665</v>
          </cell>
          <cell r="AI140">
            <v>-83.5629695618249</v>
          </cell>
        </row>
        <row r="141">
          <cell r="Z141">
            <v>5163.9706253973836</v>
          </cell>
          <cell r="AI141">
            <v>-83.5018229609027</v>
          </cell>
        </row>
        <row r="142">
          <cell r="Z142">
            <v>5491.5618154492358</v>
          </cell>
          <cell r="AI142">
            <v>-83.416413044366493</v>
          </cell>
        </row>
        <row r="143">
          <cell r="Z143">
            <v>5839.9346860303567</v>
          </cell>
          <cell r="AI143">
            <v>-83.306461382467688</v>
          </cell>
        </row>
        <row r="144">
          <cell r="Z144">
            <v>6210.4075822572904</v>
          </cell>
          <cell r="AI144">
            <v>-83.171609136728549</v>
          </cell>
        </row>
        <row r="145">
          <cell r="Z145">
            <v>6604.3824822253073</v>
          </cell>
          <cell r="AI145">
            <v>-83.011417572692821</v>
          </cell>
        </row>
        <row r="146">
          <cell r="Z146">
            <v>7023.3503025047467</v>
          </cell>
          <cell r="AI146">
            <v>-82.825368728446676</v>
          </cell>
        </row>
        <row r="147">
          <cell r="Z147">
            <v>7468.8965402065769</v>
          </cell>
          <cell r="AI147">
            <v>-82.612866310399383</v>
          </cell>
        </row>
        <row r="148">
          <cell r="Z148">
            <v>7942.7072729684578</v>
          </cell>
          <cell r="AI148">
            <v>-82.373236902914059</v>
          </cell>
        </row>
        <row r="149">
          <cell r="Z149">
            <v>8446.5755395671058</v>
          </cell>
          <cell r="AI149">
            <v>-82.10573159540364</v>
          </cell>
        </row>
        <row r="150">
          <cell r="Z150">
            <v>8982.4081253027471</v>
          </cell>
          <cell r="AI150">
            <v>-81.809528149658718</v>
          </cell>
        </row>
        <row r="151">
          <cell r="Z151">
            <v>9552.2327778341514</v>
          </cell>
          <cell r="AI151">
            <v>-81.483733851571529</v>
          </cell>
        </row>
        <row r="152">
          <cell r="Z152">
            <v>10158.205880770249</v>
          </cell>
          <cell r="AI152">
            <v>-81.127389215123486</v>
          </cell>
        </row>
        <row r="153">
          <cell r="Z153">
            <v>10802.620614058389</v>
          </cell>
          <cell r="AI153">
            <v>-80.739472732408217</v>
          </cell>
        </row>
        <row r="154">
          <cell r="Z154">
            <v>11487.915632049675</v>
          </cell>
          <cell r="AI154">
            <v>-80.318906891292016</v>
          </cell>
        </row>
        <row r="155">
          <cell r="Z155">
            <v>12216.684292082227</v>
          </cell>
          <cell r="AI155">
            <v>-79.864565711511219</v>
          </cell>
        </row>
        <row r="156">
          <cell r="Z156">
            <v>12991.684468506162</v>
          </cell>
          <cell r="AI156">
            <v>-79.375284079672412</v>
          </cell>
        </row>
        <row r="157">
          <cell r="Z157">
            <v>13815.848989288772</v>
          </cell>
          <cell r="AI157">
            <v>-78.849869192377128</v>
          </cell>
        </row>
        <row r="158">
          <cell r="Z158">
            <v>14692.296734695852</v>
          </cell>
          <cell r="AI158">
            <v>-78.287114442571095</v>
          </cell>
        </row>
        <row r="159">
          <cell r="Z159">
            <v>15624.344440049217</v>
          </cell>
          <cell r="AI159">
            <v>-77.685816104547811</v>
          </cell>
        </row>
        <row r="160">
          <cell r="Z160">
            <v>16615.519247226184</v>
          </cell>
          <cell r="AI160">
            <v>-77.0447931842522</v>
          </cell>
        </row>
        <row r="161">
          <cell r="Z161">
            <v>17669.572052398642</v>
          </cell>
          <cell r="AI161">
            <v>-76.362910799144842</v>
          </cell>
        </row>
        <row r="162">
          <cell r="Z162">
            <v>18790.49170052441</v>
          </cell>
          <cell r="AI162">
            <v>-75.639107430344211</v>
          </cell>
        </row>
        <row r="163">
          <cell r="Z163">
            <v>19982.5200803064</v>
          </cell>
          <cell r="AI163">
            <v>-74.872426342542155</v>
          </cell>
        </row>
        <row r="164">
          <cell r="Z164">
            <v>21250.168176743602</v>
          </cell>
          <cell r="AI164">
            <v>-74.062051386930293</v>
          </cell>
        </row>
        <row r="165">
          <cell r="Z165">
            <v>22598.233142021272</v>
          </cell>
          <cell r="AI165">
            <v>-73.207347281315336</v>
          </cell>
        </row>
        <row r="166">
          <cell r="Z166">
            <v>24031.816449341983</v>
          </cell>
          <cell r="AI166">
            <v>-72.307904292235307</v>
          </cell>
        </row>
        <row r="167">
          <cell r="Z167">
            <v>25556.343198396022</v>
          </cell>
          <cell r="AI167">
            <v>-71.363587020038352</v>
          </cell>
        </row>
        <row r="168">
          <cell r="Z168">
            <v>27177.582645530147</v>
          </cell>
          <cell r="AI168">
            <v>-70.374586706121903</v>
          </cell>
        </row>
        <row r="169">
          <cell r="Z169">
            <v>28901.670036305419</v>
          </cell>
          <cell r="AI169">
            <v>-69.341476143040538</v>
          </cell>
        </row>
        <row r="170">
          <cell r="Z170">
            <v>30735.129823066054</v>
          </cell>
          <cell r="AI170">
            <v>-68.265265880886076</v>
          </cell>
        </row>
        <row r="171">
          <cell r="Z171">
            <v>32684.900355380338</v>
          </cell>
          <cell r="AI171">
            <v>-67.147460003989934</v>
          </cell>
        </row>
        <row r="172">
          <cell r="Z172">
            <v>34758.360136790499</v>
          </cell>
          <cell r="AI172">
            <v>-65.99010932804147</v>
          </cell>
        </row>
        <row r="173">
          <cell r="Z173">
            <v>36963.355747234389</v>
          </cell>
          <cell r="AI173">
            <v>-64.795859478000963</v>
          </cell>
        </row>
        <row r="174">
          <cell r="Z174">
            <v>39308.231536804677</v>
          </cell>
          <cell r="AI174">
            <v>-63.567991001218999</v>
          </cell>
        </row>
        <row r="175">
          <cell r="Z175">
            <v>41801.861203217486</v>
          </cell>
          <cell r="AI175">
            <v>-62.31044850477452</v>
          </cell>
        </row>
        <row r="176">
          <cell r="Z176">
            <v>44453.681372487059</v>
          </cell>
          <cell r="AI176">
            <v>-61.027855839467477</v>
          </cell>
        </row>
        <row r="177">
          <cell r="Z177">
            <v>47273.727309885995</v>
          </cell>
          <cell r="AI177">
            <v>-59.725514635927944</v>
          </cell>
        </row>
        <row r="178">
          <cell r="Z178">
            <v>50272.670896332245</v>
          </cell>
          <cell r="AI178">
            <v>-58.409384063545794</v>
          </cell>
        </row>
        <row r="179">
          <cell r="Z179">
            <v>53461.861013916772</v>
          </cell>
          <cell r="AI179">
            <v>-57.086040533777485</v>
          </cell>
        </row>
        <row r="180">
          <cell r="Z180">
            <v>56853.366493401947</v>
          </cell>
          <cell r="AI180">
            <v>-55.762617171165033</v>
          </cell>
        </row>
        <row r="181">
          <cell r="Z181">
            <v>60460.02178621637</v>
          </cell>
          <cell r="AI181">
            <v>-54.446724151684151</v>
          </cell>
        </row>
        <row r="182">
          <cell r="Z182">
            <v>64295.47553378361</v>
          </cell>
          <cell r="AI182">
            <v>-53.146352344260698</v>
          </cell>
        </row>
        <row r="183">
          <cell r="Z183">
            <v>68374.242217984312</v>
          </cell>
          <cell r="AI183">
            <v>-51.869763947058459</v>
          </cell>
        </row>
        <row r="184">
          <cell r="Z184">
            <v>72711.757088212587</v>
          </cell>
          <cell r="AI184">
            <v>-50.62537483873875</v>
          </cell>
        </row>
        <row r="185">
          <cell r="Z185">
            <v>77324.434572886516</v>
          </cell>
          <cell r="AI185">
            <v>-49.421634037211462</v>
          </cell>
        </row>
        <row r="186">
          <cell r="Z186">
            <v>82229.730396460247</v>
          </cell>
          <cell r="AI186">
            <v>-48.266905885579291</v>
          </cell>
        </row>
        <row r="187">
          <cell r="Z187">
            <v>87446.207637003507</v>
          </cell>
          <cell r="AI187">
            <v>-47.169360335137043</v>
          </cell>
        </row>
        <row r="188">
          <cell r="Z188">
            <v>92993.606974334747</v>
          </cell>
          <cell r="AI188">
            <v>-46.136875999393219</v>
          </cell>
        </row>
        <row r="189">
          <cell r="Z189">
            <v>98892.921394542427</v>
          </cell>
          <cell r="AI189">
            <v>-45.176959599117851</v>
          </cell>
        </row>
        <row r="190">
          <cell r="Z190">
            <v>105166.47563360249</v>
          </cell>
          <cell r="AI190">
            <v>-44.296684134785608</v>
          </cell>
        </row>
        <row r="191">
          <cell r="Z191">
            <v>111838.01066072512</v>
          </cell>
          <cell r="AI191">
            <v>-43.50264675564101</v>
          </cell>
        </row>
        <row r="192">
          <cell r="Z192">
            <v>118932.77352114675</v>
          </cell>
          <cell r="AI192">
            <v>-42.800945983951806</v>
          </cell>
        </row>
        <row r="193">
          <cell r="Z193">
            <v>126477.61287835392</v>
          </cell>
          <cell r="AI193">
            <v>-42.197176813222654</v>
          </cell>
        </row>
        <row r="194">
          <cell r="Z194">
            <v>134501.0806172993</v>
          </cell>
          <cell r="AI194">
            <v>-41.696441306611348</v>
          </cell>
        </row>
        <row r="195">
          <cell r="Z195">
            <v>143033.53989310883</v>
          </cell>
          <cell r="AI195">
            <v>-41.303371711348923</v>
          </cell>
        </row>
        <row r="196">
          <cell r="Z196">
            <v>152107.28003416685</v>
          </cell>
          <cell r="AI196">
            <v>-41.022162773651218</v>
          </cell>
        </row>
        <row r="197">
          <cell r="Z197">
            <v>161756.63873440344</v>
          </cell>
          <cell r="AI197">
            <v>-40.856609854514879</v>
          </cell>
        </row>
        <row r="198">
          <cell r="Z198">
            <v>172018.13199719929</v>
          </cell>
          <cell r="AI198">
            <v>-40.810149560286554</v>
          </cell>
        </row>
        <row r="199">
          <cell r="Z199">
            <v>182930.59232265301</v>
          </cell>
          <cell r="AI199">
            <v>-40.885899856543205</v>
          </cell>
        </row>
        <row r="200">
          <cell r="Z200">
            <v>194535.31566115122</v>
          </cell>
          <cell r="AI200">
            <v>-41.086696975273121</v>
          </cell>
        </row>
        <row r="201">
          <cell r="Z201">
            <v>206876.21768935499</v>
          </cell>
          <cell r="AI201">
            <v>-41.415126807756721</v>
          </cell>
        </row>
        <row r="202">
          <cell r="AI202">
            <v>-41.873548864724313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 Max load Thermal result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D7" t="str">
            <v>Vin min @ 2MHz</v>
          </cell>
          <cell r="E7" t="str">
            <v>Vin min (loss of reg)</v>
          </cell>
        </row>
        <row r="8">
          <cell r="C8">
            <v>0.1</v>
          </cell>
          <cell r="D8">
            <v>3.7216666666666667</v>
          </cell>
          <cell r="E8">
            <v>3.4746891191709848</v>
          </cell>
        </row>
        <row r="9">
          <cell r="C9">
            <v>0.2</v>
          </cell>
          <cell r="D9">
            <v>3.7766666666666664</v>
          </cell>
          <cell r="E9">
            <v>3.5296891191709845</v>
          </cell>
        </row>
        <row r="10">
          <cell r="C10">
            <v>0.5</v>
          </cell>
          <cell r="D10">
            <v>3.9416666666666664</v>
          </cell>
          <cell r="E10">
            <v>3.6946891191709845</v>
          </cell>
        </row>
        <row r="11">
          <cell r="C11">
            <v>0.8</v>
          </cell>
          <cell r="D11">
            <v>4.1066666666666665</v>
          </cell>
          <cell r="E11">
            <v>3.8596891191709846</v>
          </cell>
        </row>
        <row r="12">
          <cell r="C12">
            <v>1</v>
          </cell>
          <cell r="D12">
            <v>4.2166666666666668</v>
          </cell>
          <cell r="E12">
            <v>3.9696891191709849</v>
          </cell>
        </row>
        <row r="13">
          <cell r="C13">
            <v>1.2</v>
          </cell>
          <cell r="D13">
            <v>4.3266666666666662</v>
          </cell>
          <cell r="E13">
            <v>4.0796891191709843</v>
          </cell>
        </row>
        <row r="14">
          <cell r="C14">
            <v>1.5</v>
          </cell>
          <cell r="D14">
            <v>4.4916666666666663</v>
          </cell>
          <cell r="E14">
            <v>4.2446891191709843</v>
          </cell>
        </row>
        <row r="15">
          <cell r="C15">
            <v>1.8</v>
          </cell>
          <cell r="D15">
            <v>4.6566666666666663</v>
          </cell>
          <cell r="E15">
            <v>4.4096891191709844</v>
          </cell>
        </row>
        <row r="16">
          <cell r="C16">
            <v>2</v>
          </cell>
          <cell r="D16">
            <v>4.7666666666666666</v>
          </cell>
          <cell r="E16">
            <v>4.5196891191709847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14"/>
  <sheetViews>
    <sheetView topLeftCell="A15" zoomScaleNormal="100" workbookViewId="0">
      <selection activeCell="BT15" sqref="BT15"/>
    </sheetView>
  </sheetViews>
  <sheetFormatPr defaultRowHeight="15"/>
  <cols>
    <col min="1" max="1" width="46.28515625" style="12" customWidth="1"/>
    <col min="2" max="2" width="22.42578125" customWidth="1"/>
    <col min="3" max="3" width="9.140625" style="12"/>
    <col min="4" max="4" width="18.42578125" style="5" customWidth="1"/>
    <col min="5" max="5" width="6.28515625" style="12" customWidth="1"/>
    <col min="6" max="6" width="9.140625" style="12" hidden="1" customWidth="1"/>
    <col min="7" max="7" width="13.85546875" style="12" hidden="1" customWidth="1"/>
    <col min="8" max="8" width="9.140625" style="12"/>
    <col min="9" max="9" width="9.140625" style="12" customWidth="1"/>
    <col min="10" max="11" width="12.28515625" style="12" bestFit="1" customWidth="1"/>
    <col min="12" max="12" width="12.28515625" style="12" customWidth="1"/>
    <col min="13" max="16" width="9.140625" style="12"/>
    <col min="17" max="17" width="8.7109375" style="12" customWidth="1"/>
    <col min="18" max="18" width="30.7109375" style="24" customWidth="1"/>
    <col min="19" max="23" width="30.7109375" style="24" hidden="1" customWidth="1"/>
    <col min="24" max="24" width="25.7109375" style="24" customWidth="1"/>
    <col min="25" max="46" width="0.140625" style="24" customWidth="1"/>
    <col min="47" max="47" width="25.7109375" style="12" customWidth="1"/>
    <col min="48" max="48" width="8.7109375" style="12" customWidth="1"/>
    <col min="49" max="71" width="9.140625" style="12"/>
  </cols>
  <sheetData>
    <row r="1" spans="1:71" s="1" customFormat="1">
      <c r="A1" s="11" t="s">
        <v>0</v>
      </c>
      <c r="B1" s="3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4"/>
      <c r="S1" s="24" t="s">
        <v>30</v>
      </c>
      <c r="T1" s="24">
        <f>B17</f>
        <v>0.26632258064516129</v>
      </c>
      <c r="U1" s="24"/>
      <c r="V1" s="24"/>
      <c r="W1" s="24"/>
      <c r="X1" s="24"/>
      <c r="Y1" s="24"/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  <c r="AE1" s="24" t="s">
        <v>36</v>
      </c>
      <c r="AF1" s="24" t="s">
        <v>37</v>
      </c>
      <c r="AG1" s="24" t="s">
        <v>38</v>
      </c>
      <c r="AH1" s="24" t="s">
        <v>39</v>
      </c>
      <c r="AI1" s="25" t="s">
        <v>40</v>
      </c>
      <c r="AJ1" s="25" t="s">
        <v>41</v>
      </c>
      <c r="AK1" s="25" t="s">
        <v>42</v>
      </c>
      <c r="AL1" s="25" t="s">
        <v>43</v>
      </c>
      <c r="AM1" s="25" t="s">
        <v>44</v>
      </c>
      <c r="AN1" s="25" t="s">
        <v>45</v>
      </c>
      <c r="AO1" s="25" t="s">
        <v>46</v>
      </c>
      <c r="AP1" s="24" t="s">
        <v>39</v>
      </c>
      <c r="AQ1" s="25" t="s">
        <v>40</v>
      </c>
      <c r="AR1" s="25" t="s">
        <v>41</v>
      </c>
      <c r="AS1" s="25" t="s">
        <v>41</v>
      </c>
      <c r="AT1" s="25" t="s">
        <v>40</v>
      </c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s="1" customFormat="1">
      <c r="A2" s="8" t="s">
        <v>2</v>
      </c>
      <c r="B2" s="4">
        <v>24</v>
      </c>
      <c r="C2" s="18" t="s">
        <v>100</v>
      </c>
      <c r="D2" s="1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4"/>
      <c r="S2" s="24" t="s">
        <v>49</v>
      </c>
      <c r="T2" s="24">
        <f>1-D_</f>
        <v>0.73367741935483877</v>
      </c>
      <c r="U2" s="24"/>
      <c r="V2" s="24" t="s">
        <v>50</v>
      </c>
      <c r="W2" s="24">
        <f>G10</f>
        <v>6283185.307179587</v>
      </c>
      <c r="X2" s="24"/>
      <c r="Y2" s="24">
        <v>0</v>
      </c>
      <c r="Z2" s="24">
        <f>10^(LOG($G$6/$G$5,10)*Y2/200)</f>
        <v>1</v>
      </c>
      <c r="AA2" s="24" t="str">
        <f>IMPRODUCT(COMPLEX(0,1),2*PI()*Z2)</f>
        <v>6.28318530717959i</v>
      </c>
      <c r="AB2" s="24">
        <f>$B$23/$G$3</f>
        <v>8.870967741935484</v>
      </c>
      <c r="AC2" s="32">
        <f>1/(1+D7*B23/(D24/1000000)*(G8*(1-B17)-0.5))</f>
        <v>0.79676177390574687</v>
      </c>
      <c r="AD2" s="24" t="str">
        <f>IMDIV(IMSUM(1,IMDIV(AA2,$G$12)),IMSUM(1,IMDIV(AA2,$G$14)))</f>
        <v>0.999999924429485-0.000274461436161307i</v>
      </c>
      <c r="AE2" s="24" t="str">
        <f>IMDIV(1,IMSUM(1,IMDIV(AA2,IMPRODUCT($G$10*$G$11)),IMDIV(IMPRODUCT(AA2,AA2),$G$10*$G$10)))</f>
        <v>0.999999999993497-0.0000027391886170777i</v>
      </c>
      <c r="AF2" s="24" t="str">
        <f>IF(D_&lt;Dmax,IMPRODUCT(AB2,AC$2,AD2,AE2),0)</f>
        <v>7.06804745482941-0.00195926731851483i</v>
      </c>
      <c r="AG2" s="24">
        <f>IMABS(AF2)</f>
        <v>7.0680477263844868</v>
      </c>
      <c r="AH2" s="24">
        <f>IMARGUMENT(AF2)</f>
        <v>-2.7720063862794536E-4</v>
      </c>
      <c r="AI2" s="24">
        <f t="shared" ref="AI2:AI65" si="0">AH2/(PI())*180</f>
        <v>-1.5882426671712368E-2</v>
      </c>
      <c r="AJ2" s="24">
        <f>20*LOG(AG2,10)</f>
        <v>16.985989467615422</v>
      </c>
      <c r="AK2" s="26">
        <f>-0.8/B38*B13*B42</f>
        <v>-336.1702127659575</v>
      </c>
      <c r="AL2" s="24" t="str">
        <f>IMDIV(1,IMSUM(1,IMDIV(AA2,wp2e)))</f>
        <v>0.999688758533605-0.0176392912313612i</v>
      </c>
      <c r="AM2" s="24" t="str">
        <f>IMDIV(IMSUM(1,IMDIV(AA2,wz2e)),IMSUM(1,IMDIV(AA2,wp1e)))</f>
        <v>1.00000000028171+0.00014085714285658i</v>
      </c>
      <c r="AN2" s="24" t="str">
        <f>IMPRODUCT($AK$2,AL2,AM2)</f>
        <v>-336.06641800594+5.88246705017252i</v>
      </c>
      <c r="AO2" s="24">
        <f>IMABS(AN2)</f>
        <v>336.11789706878091</v>
      </c>
      <c r="AP2" s="24">
        <f>IMARGUMENT(AN2)</f>
        <v>3.1240905585361665</v>
      </c>
      <c r="AQ2" s="24">
        <f>AP2/(PI())*180</f>
        <v>178.99720382079039</v>
      </c>
      <c r="AR2" s="24">
        <f>20*LOG(AO2,10)</f>
        <v>50.529832754077347</v>
      </c>
      <c r="AS2" s="24">
        <f>AR2+AJ2</f>
        <v>67.515822221692773</v>
      </c>
      <c r="AT2" s="24">
        <f>AQ2+AI2</f>
        <v>178.98132139411868</v>
      </c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s="1" customFormat="1">
      <c r="A3" s="8" t="s">
        <v>3</v>
      </c>
      <c r="B3" s="4">
        <v>7</v>
      </c>
      <c r="C3" s="18" t="s">
        <v>100</v>
      </c>
      <c r="D3" s="18"/>
      <c r="E3" s="12"/>
      <c r="F3" s="27" t="s">
        <v>93</v>
      </c>
      <c r="G3" s="28">
        <v>0.31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24"/>
      <c r="S3" s="24" t="s">
        <v>52</v>
      </c>
      <c r="T3" s="24">
        <f>D7</f>
        <v>4.9999999999999998E-7</v>
      </c>
      <c r="U3" s="24" t="s">
        <v>32</v>
      </c>
      <c r="V3" s="24" t="s">
        <v>53</v>
      </c>
      <c r="W3" s="24">
        <f>G11</f>
        <v>0.36507161053456333</v>
      </c>
      <c r="X3" s="24"/>
      <c r="Y3" s="24">
        <v>1</v>
      </c>
      <c r="Z3" s="24">
        <f t="shared" ref="Z3:Z66" si="1">10^(LOG($G$6/$G$5,10)*Y3/200)</f>
        <v>1.0634378492473788</v>
      </c>
      <c r="AA3" s="24" t="str">
        <f>IMPRODUCT(COMPLEX(0,1),2*PI()*Z3)</f>
        <v>6.68177706948979i</v>
      </c>
      <c r="AB3" s="24">
        <f t="shared" ref="AB3:AB66" si="2">$B$23/$G$3</f>
        <v>8.870967741935484</v>
      </c>
      <c r="AC3" s="24"/>
      <c r="AD3" s="24" t="str">
        <f t="shared" ref="AD3:AD66" si="3">IMDIV(IMSUM(1,IMDIV(AA3,$G$12)),IMSUM(1,IMDIV(AA3,$G$14)))</f>
        <v>0.999999914537302-0.000291872676476216i</v>
      </c>
      <c r="AE3" s="24" t="str">
        <f t="shared" ref="AE3:AE66" si="4">IMDIV(1,IMSUM(1,IMDIV(AA3,IMPRODUCT($G$10*$G$11)),IMDIV(IMPRODUCT(AA3,AA3),$G$10*$G$10)))</f>
        <v>0.999999999992646-0.0000029129568516259i</v>
      </c>
      <c r="AF3" s="24" t="str">
        <f>IF(D_&lt;Dmax,IMPRODUCT(AB3,AC$2,AD3,AE3),0)</f>
        <v>7.0680473842094-0.00208355900262397i</v>
      </c>
      <c r="AG3" s="24">
        <f t="shared" ref="AG3:AG66" si="5">IMABS(AF3)</f>
        <v>7.0680476913110502</v>
      </c>
      <c r="AH3" s="24">
        <f>IMARGUMENT(AF3)</f>
        <v>-2.9478564998390355E-4</v>
      </c>
      <c r="AI3" s="24">
        <f t="shared" si="0"/>
        <v>-1.6889973605098398E-2</v>
      </c>
      <c r="AJ3" s="24">
        <f>20*LOG(AG3,10)</f>
        <v>16.985989424513846</v>
      </c>
      <c r="AK3" s="24"/>
      <c r="AL3" s="24" t="str">
        <f>IMDIV(1,IMSUM(1,IMDIV(AA3,wp2e)))</f>
        <v>0.999648031346965-0.0187575257190979i</v>
      </c>
      <c r="AM3" s="24" t="str">
        <f>IMDIV(IMSUM(1,IMDIV(AA3,wz2e)),IMSUM(1,IMDIV(AA3,wp1e)))</f>
        <v>1.00000000031859+0.000149792817050454i</v>
      </c>
      <c r="AN3" s="24" t="str">
        <f>IMPRODUCT($AK$2,AL3,AM3)</f>
        <v>-336.052836047816+6.25538325447471i</v>
      </c>
      <c r="AO3" s="24">
        <f t="shared" ref="AO3:AO66" si="6">IMABS(AN3)</f>
        <v>336.11105074876764</v>
      </c>
      <c r="AP3" s="24">
        <f t="shared" ref="AP3:AP66" si="7">IMARGUMENT(AN3)</f>
        <v>3.122980518072846</v>
      </c>
      <c r="AQ3" s="24">
        <f t="shared" ref="AQ3:AQ66" si="8">AP3/(PI())*180</f>
        <v>178.93360318715338</v>
      </c>
      <c r="AR3" s="24">
        <f t="shared" ref="AR3:AR66" si="9">20*LOG(AO3,10)</f>
        <v>50.529655831080333</v>
      </c>
      <c r="AS3" s="24">
        <f>AR3+AJ3</f>
        <v>67.51564525559418</v>
      </c>
      <c r="AT3" s="24">
        <f>AQ3+AI3</f>
        <v>178.91671321354829</v>
      </c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1:71" s="1" customFormat="1">
      <c r="A4" s="8" t="s">
        <v>83</v>
      </c>
      <c r="B4" s="4">
        <v>15.5</v>
      </c>
      <c r="C4" s="18" t="s">
        <v>100</v>
      </c>
      <c r="D4" s="43"/>
      <c r="E4" s="24"/>
      <c r="F4" s="26" t="s">
        <v>58</v>
      </c>
      <c r="G4" s="29">
        <f>(B4-B5)/D24*G3*1000000</f>
        <v>804680.85106382985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24"/>
      <c r="S4" s="24"/>
      <c r="T4" s="24"/>
      <c r="U4" s="24"/>
      <c r="V4" s="24"/>
      <c r="W4" s="24"/>
      <c r="X4" s="24"/>
      <c r="Y4" s="24">
        <v>2</v>
      </c>
      <c r="Z4" s="24">
        <f t="shared" si="1"/>
        <v>1.1309000592118907</v>
      </c>
      <c r="AA4" s="24" t="str">
        <f t="shared" ref="AA4:AA67" si="10">IMPRODUCT(COMPLEX(0,1),2*PI()*Z4)</f>
        <v>7.10565463592868i</v>
      </c>
      <c r="AB4" s="24">
        <f t="shared" si="2"/>
        <v>8.870967741935484</v>
      </c>
      <c r="AC4" s="24"/>
      <c r="AD4" s="24" t="str">
        <f t="shared" si="3"/>
        <v>0.99999990335023-0.000310388447842476i</v>
      </c>
      <c r="AE4" s="24" t="str">
        <f t="shared" si="4"/>
        <v>0.999999999991683-3.09774856924095E-06i</v>
      </c>
      <c r="AF4" s="24" t="str">
        <f t="shared" ref="AF4:AF10" si="11">IF(D_&lt;Dmax,IMPRODUCT(AB4,AC$2,AD4,AE4),0)</f>
        <v>7.06804730434521-0.00221573547966207i</v>
      </c>
      <c r="AG4" s="24">
        <f t="shared" si="5"/>
        <v>7.068047651646479</v>
      </c>
      <c r="AH4" s="24">
        <f t="shared" ref="AH4:AH35" si="12">IMARGUMENT(AF4)</f>
        <v>-3.1348621644299588E-4</v>
      </c>
      <c r="AI4" s="24">
        <f t="shared" si="0"/>
        <v>-1.7961437137708296E-2</v>
      </c>
      <c r="AJ4" s="24">
        <f t="shared" ref="AJ4:AJ35" si="13">20*LOG(AG4,10)</f>
        <v>16.985989375770245</v>
      </c>
      <c r="AK4" s="24"/>
      <c r="AL4" s="24" t="str">
        <f t="shared" ref="AL4:AL35" si="14">IMDIV(1,IMSUM(1,IMDIV(AA4,wp2e)))</f>
        <v>0.999601976967444-0.0199465438164411i</v>
      </c>
      <c r="AM4" s="24" t="str">
        <f t="shared" ref="AM4:AM35" si="15">IMDIV(IMSUM(1,IMDIV(AA4,wz2e)),IMSUM(1,IMDIV(AA4,wp1e)))</f>
        <v>1.00000000036029+0.000159295351196745i</v>
      </c>
      <c r="AN4" s="24" t="str">
        <f t="shared" ref="AN4:AN35" si="16">IMPRODUCT($AK$2,AL4,AM4)</f>
        <v>-336.037477543933+6.6519048433035i</v>
      </c>
      <c r="AO4" s="24">
        <f t="shared" si="6"/>
        <v>336.1033087491607</v>
      </c>
      <c r="AP4" s="24">
        <f t="shared" si="7"/>
        <v>3.121800110648008</v>
      </c>
      <c r="AQ4" s="24">
        <f t="shared" si="8"/>
        <v>178.86597082360427</v>
      </c>
      <c r="AR4" s="24">
        <f t="shared" si="9"/>
        <v>50.529455757537676</v>
      </c>
      <c r="AS4" s="24">
        <f t="shared" ref="AS4:AS35" si="17">AR4+AJ4</f>
        <v>67.515445133307921</v>
      </c>
      <c r="AT4" s="24">
        <f t="shared" ref="AT4:AT35" si="18">AQ4+AI4</f>
        <v>178.84800938646657</v>
      </c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s="1" customFormat="1">
      <c r="A5" s="8" t="s">
        <v>4</v>
      </c>
      <c r="B5" s="4">
        <v>3.3</v>
      </c>
      <c r="C5" s="18" t="s">
        <v>100</v>
      </c>
      <c r="D5" s="47"/>
      <c r="E5" s="24"/>
      <c r="F5" s="13" t="s">
        <v>48</v>
      </c>
      <c r="G5" s="7">
        <v>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24"/>
      <c r="S5" s="24" t="s">
        <v>54</v>
      </c>
      <c r="T5" s="24"/>
      <c r="U5" s="24"/>
      <c r="V5" s="24" t="s">
        <v>55</v>
      </c>
      <c r="W5" s="24">
        <f>G12</f>
        <v>7142857.1428571427</v>
      </c>
      <c r="X5" s="24"/>
      <c r="Y5" s="24">
        <v>3</v>
      </c>
      <c r="Z5" s="24">
        <f t="shared" si="1"/>
        <v>1.2026419266820265</v>
      </c>
      <c r="AA5" s="24" t="str">
        <f t="shared" si="10"/>
        <v>7.55642208352666i</v>
      </c>
      <c r="AB5" s="24">
        <f t="shared" si="2"/>
        <v>8.870967741935484</v>
      </c>
      <c r="AC5" s="24"/>
      <c r="AD5" s="24" t="str">
        <f t="shared" si="3"/>
        <v>0.999999890698771-0.000330078819215471i</v>
      </c>
      <c r="AE5" s="24" t="str">
        <f t="shared" si="4"/>
        <v>0.999999999990594-0.0000032942630759797i</v>
      </c>
      <c r="AF5" s="24" t="str">
        <f t="shared" si="11"/>
        <v>7.0680472140268-0.00235629694308517i</v>
      </c>
      <c r="AG5" s="24">
        <f t="shared" si="5"/>
        <v>7.0680476067898192</v>
      </c>
      <c r="AH5" s="24">
        <f t="shared" si="12"/>
        <v>-3.3337310638190522E-4</v>
      </c>
      <c r="AI5" s="24">
        <f t="shared" si="0"/>
        <v>-1.9100871998848978E-2</v>
      </c>
      <c r="AJ5" s="24">
        <f t="shared" si="13"/>
        <v>16.985989320646112</v>
      </c>
      <c r="AK5" s="24"/>
      <c r="AL5" s="24" t="str">
        <f t="shared" si="14"/>
        <v>0.999549899179725-0.0212108045468876i</v>
      </c>
      <c r="AM5" s="24" t="str">
        <f t="shared" si="15"/>
        <v>1.00000000040746+0.00016940070567166i</v>
      </c>
      <c r="AN5" s="24" t="str">
        <f t="shared" si="16"/>
        <v>-336.020110316036+7.0735188412049i</v>
      </c>
      <c r="AO5" s="24">
        <f t="shared" si="6"/>
        <v>336.0945539659902</v>
      </c>
      <c r="AP5" s="24">
        <f t="shared" si="7"/>
        <v>3.1205448827871929</v>
      </c>
      <c r="AQ5" s="24">
        <f t="shared" si="8"/>
        <v>178.79405156485231</v>
      </c>
      <c r="AR5" s="24">
        <f t="shared" si="9"/>
        <v>50.529229505463263</v>
      </c>
      <c r="AS5" s="24">
        <f t="shared" si="17"/>
        <v>67.515218826109376</v>
      </c>
      <c r="AT5" s="24">
        <f t="shared" si="18"/>
        <v>178.77495069285345</v>
      </c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s="1" customFormat="1">
      <c r="A6" s="8" t="s">
        <v>5</v>
      </c>
      <c r="B6" s="4">
        <v>1.2</v>
      </c>
      <c r="C6" s="18" t="s">
        <v>101</v>
      </c>
      <c r="D6" s="48" t="s">
        <v>7</v>
      </c>
      <c r="E6" s="24"/>
      <c r="F6" s="13" t="s">
        <v>51</v>
      </c>
      <c r="G6" s="7">
        <v>220000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24"/>
      <c r="S6" s="24" t="s">
        <v>57</v>
      </c>
      <c r="T6" s="24">
        <f>D_</f>
        <v>0.26632258064516129</v>
      </c>
      <c r="U6" s="24"/>
      <c r="V6" s="24"/>
      <c r="W6" s="24"/>
      <c r="X6" s="24"/>
      <c r="Y6" s="24">
        <v>4</v>
      </c>
      <c r="Z6" s="24">
        <f t="shared" si="1"/>
        <v>1.278934943925458</v>
      </c>
      <c r="AA6" s="24" t="str">
        <f t="shared" si="10"/>
        <v>8.03578524851099i</v>
      </c>
      <c r="AB6" s="24">
        <f t="shared" si="2"/>
        <v>8.870967741935484</v>
      </c>
      <c r="AC6" s="24"/>
      <c r="AD6" s="24" t="str">
        <f t="shared" si="3"/>
        <v>0.999999876391236-0.000351018304550312i</v>
      </c>
      <c r="AE6" s="24" t="str">
        <f t="shared" si="4"/>
        <v>0.999999999989363-3.50324404037126E-06i</v>
      </c>
      <c r="AF6" s="24" t="str">
        <f t="shared" si="11"/>
        <v>7.06804711188572-0.00250577531737435i</v>
      </c>
      <c r="AG6" s="24">
        <f t="shared" si="5"/>
        <v>7.0680475560614351</v>
      </c>
      <c r="AH6" s="24">
        <f t="shared" si="12"/>
        <v>-3.5452157756287296E-4</v>
      </c>
      <c r="AI6" s="24">
        <f t="shared" si="0"/>
        <v>-2.0312590140672483E-2</v>
      </c>
      <c r="AJ6" s="24">
        <f t="shared" si="13"/>
        <v>16.985989258306248</v>
      </c>
      <c r="AK6" s="24"/>
      <c r="AL6" s="24" t="str">
        <f t="shared" si="14"/>
        <v>0.999491010944431-0.0225550434650449i</v>
      </c>
      <c r="AM6" s="24" t="str">
        <f t="shared" si="15"/>
        <v>1.00000000046079+0.000180147122100321i</v>
      </c>
      <c r="AN6" s="24" t="str">
        <f t="shared" si="16"/>
        <v>-336.000471897282+7.52180449214404i</v>
      </c>
      <c r="AO6" s="24">
        <f t="shared" si="6"/>
        <v>336.08465400552615</v>
      </c>
      <c r="AP6" s="24">
        <f t="shared" si="7"/>
        <v>3.1192101006134982</v>
      </c>
      <c r="AQ6" s="24">
        <f t="shared" si="8"/>
        <v>178.71757417973032</v>
      </c>
      <c r="AR6" s="24">
        <f t="shared" si="9"/>
        <v>50.528973651182142</v>
      </c>
      <c r="AS6" s="24">
        <f t="shared" si="17"/>
        <v>67.514962909488389</v>
      </c>
      <c r="AT6" s="24">
        <f t="shared" si="18"/>
        <v>178.69726158958966</v>
      </c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s="1" customFormat="1">
      <c r="A7" s="8" t="s">
        <v>6</v>
      </c>
      <c r="B7" s="40">
        <f>2000000/1000000</f>
        <v>2</v>
      </c>
      <c r="C7" s="13" t="s">
        <v>107</v>
      </c>
      <c r="D7" s="49">
        <f>1/B7/1000000</f>
        <v>4.9999999999999998E-7</v>
      </c>
      <c r="E7" s="48" t="s">
        <v>104</v>
      </c>
      <c r="F7" s="27" t="s">
        <v>63</v>
      </c>
      <c r="G7" s="10">
        <v>700000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24"/>
      <c r="S7" s="24" t="s">
        <v>58</v>
      </c>
      <c r="T7" s="30">
        <f>G4</f>
        <v>804680.85106382985</v>
      </c>
      <c r="U7" s="24" t="s">
        <v>59</v>
      </c>
      <c r="V7" s="24" t="s">
        <v>60</v>
      </c>
      <c r="W7" s="24">
        <f>G14</f>
        <v>22819.641676194424</v>
      </c>
      <c r="X7" s="24"/>
      <c r="Y7" s="24">
        <v>5</v>
      </c>
      <c r="Z7" s="24">
        <f t="shared" si="1"/>
        <v>1.3600678260954062</v>
      </c>
      <c r="AA7" s="24" t="str">
        <f t="shared" si="10"/>
        <v>8.54555818169034i</v>
      </c>
      <c r="AB7" s="24">
        <f t="shared" si="2"/>
        <v>8.870967741935484</v>
      </c>
      <c r="AC7" s="24"/>
      <c r="AD7" s="24" t="str">
        <f t="shared" si="3"/>
        <v>0.999999860210843-0.00037328614477817i</v>
      </c>
      <c r="AE7" s="24" t="str">
        <f t="shared" si="4"/>
        <v>0.999999999987971-3.72548230767672E-06i</v>
      </c>
      <c r="AF7" s="24" t="str">
        <f t="shared" si="11"/>
        <v>7.06804699637435-0.00266473627094874i</v>
      </c>
      <c r="AG7" s="24">
        <f t="shared" si="5"/>
        <v>7.0680474986926809</v>
      </c>
      <c r="AH7" s="24">
        <f t="shared" si="12"/>
        <v>-3.7701166192901758E-4</v>
      </c>
      <c r="AI7" s="24">
        <f t="shared" si="0"/>
        <v>-2.1601177055745723E-2</v>
      </c>
      <c r="AJ7" s="24">
        <f t="shared" si="13"/>
        <v>16.985989187806059</v>
      </c>
      <c r="AK7" s="24"/>
      <c r="AL7" s="24" t="str">
        <f t="shared" si="14"/>
        <v>0.999424422595741-0.0239842889181857i</v>
      </c>
      <c r="AM7" s="24" t="str">
        <f t="shared" si="15"/>
        <v>1.00000000052111+0.000191575268074307i</v>
      </c>
      <c r="AN7" s="24" t="str">
        <f t="shared" si="16"/>
        <v>-335.978265596329+7.9984386825167i</v>
      </c>
      <c r="AO7" s="24">
        <f t="shared" si="6"/>
        <v>336.07345919378304</v>
      </c>
      <c r="AP7" s="24">
        <f t="shared" si="7"/>
        <v>3.1177907324875798</v>
      </c>
      <c r="AQ7" s="24">
        <f t="shared" si="8"/>
        <v>178.63625037653981</v>
      </c>
      <c r="AR7" s="24">
        <f t="shared" si="9"/>
        <v>50.528684323723567</v>
      </c>
      <c r="AS7" s="24">
        <f t="shared" si="17"/>
        <v>67.514673511529622</v>
      </c>
      <c r="AT7" s="24">
        <f t="shared" si="18"/>
        <v>178.61464919948406</v>
      </c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s="1" customFormat="1">
      <c r="A8" s="8" t="s">
        <v>105</v>
      </c>
      <c r="B8" s="4">
        <v>0.1</v>
      </c>
      <c r="C8" s="18" t="s">
        <v>99</v>
      </c>
      <c r="D8" s="47"/>
      <c r="E8" s="24"/>
      <c r="F8" s="44" t="s">
        <v>61</v>
      </c>
      <c r="G8" s="43">
        <f>1+G7/G4</f>
        <v>1.8699101004759386</v>
      </c>
      <c r="H8" s="24"/>
      <c r="I8" s="24"/>
      <c r="J8" s="24"/>
      <c r="K8" s="12"/>
      <c r="L8" s="12"/>
      <c r="M8" s="12"/>
      <c r="N8" s="12"/>
      <c r="O8" s="12"/>
      <c r="P8" s="12"/>
      <c r="Q8" s="12"/>
      <c r="R8" s="24"/>
      <c r="S8" s="24" t="s">
        <v>61</v>
      </c>
      <c r="T8" s="24">
        <f>1+(T$10/T$7)</f>
        <v>1.0633791644632469</v>
      </c>
      <c r="U8" s="24"/>
      <c r="V8" s="24"/>
      <c r="W8" s="24"/>
      <c r="X8" s="24"/>
      <c r="Y8" s="24">
        <v>6</v>
      </c>
      <c r="Z8" s="24">
        <f t="shared" si="1"/>
        <v>1.4463476038134566</v>
      </c>
      <c r="AA8" s="24" t="str">
        <f t="shared" si="10"/>
        <v>9.08767001335511i</v>
      </c>
      <c r="AB8" s="24">
        <f t="shared" si="2"/>
        <v>8.870967741935484</v>
      </c>
      <c r="AC8" s="24"/>
      <c r="AD8" s="24" t="str">
        <f t="shared" si="3"/>
        <v>0.999999841912437-0.000396966607669604i</v>
      </c>
      <c r="AE8" s="24" t="str">
        <f t="shared" si="4"/>
        <v>0.999999999986396-0.0000039618188926796i</v>
      </c>
      <c r="AF8" s="24" t="str">
        <f t="shared" si="11"/>
        <v>7.06804686574255-0.00283378135676651i</v>
      </c>
      <c r="AG8" s="24">
        <f t="shared" si="5"/>
        <v>7.0680474338143666</v>
      </c>
      <c r="AH8" s="24">
        <f t="shared" si="12"/>
        <v>-4.0092846846614087E-4</v>
      </c>
      <c r="AI8" s="24">
        <f t="shared" si="0"/>
        <v>-2.2971509129753785E-2</v>
      </c>
      <c r="AJ8" s="24">
        <f t="shared" si="13"/>
        <v>16.985989108077412</v>
      </c>
      <c r="AK8" s="24"/>
      <c r="AL8" s="24" t="str">
        <f t="shared" si="14"/>
        <v>0.999349128518128-0.0255038790811555i</v>
      </c>
      <c r="AM8" s="24" t="str">
        <f t="shared" si="15"/>
        <v>1.00000000058932+0.000203728391049733i</v>
      </c>
      <c r="AN8" s="24" t="str">
        <f t="shared" si="16"/>
        <v>-335.953156054187+8.50520162206257i</v>
      </c>
      <c r="AO8" s="24">
        <f t="shared" si="6"/>
        <v>336.06080032845369</v>
      </c>
      <c r="AP8" s="24">
        <f t="shared" si="7"/>
        <v>3.1162814306328568</v>
      </c>
      <c r="AQ8" s="24">
        <f t="shared" si="8"/>
        <v>178.54977375025291</v>
      </c>
      <c r="AR8" s="24">
        <f t="shared" si="9"/>
        <v>50.528357146509641</v>
      </c>
      <c r="AS8" s="24">
        <f t="shared" si="17"/>
        <v>67.514346254587053</v>
      </c>
      <c r="AT8" s="24">
        <f t="shared" si="18"/>
        <v>178.52680224112316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s="1" customFormat="1">
      <c r="A9" s="8" t="s">
        <v>85</v>
      </c>
      <c r="B9" s="4">
        <v>30</v>
      </c>
      <c r="C9" s="19" t="s">
        <v>99</v>
      </c>
      <c r="D9" s="43"/>
      <c r="E9" s="24"/>
      <c r="F9" s="8"/>
      <c r="G9" s="44"/>
      <c r="H9" s="24"/>
      <c r="I9" s="24"/>
      <c r="J9" s="24"/>
      <c r="K9" s="12"/>
      <c r="L9" s="12"/>
      <c r="M9" s="12"/>
      <c r="N9" s="12"/>
      <c r="O9" s="12"/>
      <c r="P9" s="12"/>
      <c r="Q9" s="12"/>
      <c r="R9" s="24"/>
      <c r="S9" s="24" t="s">
        <v>62</v>
      </c>
      <c r="T9" s="24">
        <f>B23</f>
        <v>2.75</v>
      </c>
      <c r="U9" s="25" t="s">
        <v>56</v>
      </c>
      <c r="V9" s="24"/>
      <c r="W9" s="24"/>
      <c r="X9" s="24"/>
      <c r="Y9" s="24">
        <v>7</v>
      </c>
      <c r="Z9" s="24">
        <f t="shared" si="1"/>
        <v>1.5381007850634825</v>
      </c>
      <c r="AA9" s="24" t="str">
        <f t="shared" si="10"/>
        <v>9.66417225367226i</v>
      </c>
      <c r="AB9" s="24">
        <f t="shared" si="2"/>
        <v>8.870967741935484</v>
      </c>
      <c r="AC9" s="24"/>
      <c r="AD9" s="24" t="str">
        <f t="shared" si="3"/>
        <v>0.999999821218769-0.000422149306719376i</v>
      </c>
      <c r="AE9" s="24" t="str">
        <f t="shared" si="4"/>
        <v>0.999999999984615-4.21314816233248E-06i</v>
      </c>
      <c r="AF9" s="24" t="str">
        <f t="shared" si="11"/>
        <v>7.06804671801104-0.00301355028871243i</v>
      </c>
      <c r="AG9" s="24">
        <f t="shared" si="5"/>
        <v>7.0680473604434741</v>
      </c>
      <c r="AH9" s="24">
        <f t="shared" si="12"/>
        <v>-4.2636250527704211E-4</v>
      </c>
      <c r="AI9" s="24">
        <f t="shared" si="0"/>
        <v>-2.4428772094998802E-2</v>
      </c>
      <c r="AJ9" s="24">
        <f t="shared" si="13"/>
        <v>16.985989017912271</v>
      </c>
      <c r="AK9" s="24"/>
      <c r="AL9" s="24" t="str">
        <f t="shared" si="14"/>
        <v>0.999263992109833-0.0271194797618402i</v>
      </c>
      <c r="AM9" s="24" t="str">
        <f t="shared" si="15"/>
        <v>1.00000000066647+0.00021665248200832i</v>
      </c>
      <c r="AN9" s="24" t="str">
        <f t="shared" si="16"/>
        <v>-335.924764229765+9.04398278175127i</v>
      </c>
      <c r="AO9" s="24">
        <f t="shared" si="6"/>
        <v>336.04648614050376</v>
      </c>
      <c r="AP9" s="24">
        <f t="shared" si="7"/>
        <v>3.1146765116989843</v>
      </c>
      <c r="AQ9" s="24">
        <f t="shared" si="8"/>
        <v>178.45781866888137</v>
      </c>
      <c r="AR9" s="24">
        <f t="shared" si="9"/>
        <v>50.527987171479424</v>
      </c>
      <c r="AS9" s="24">
        <f t="shared" si="17"/>
        <v>67.513976189391698</v>
      </c>
      <c r="AT9" s="24">
        <f t="shared" si="18"/>
        <v>178.43338989678637</v>
      </c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s="1" customFormat="1">
      <c r="A10" s="8" t="s">
        <v>9</v>
      </c>
      <c r="B10" s="40">
        <v>0.65</v>
      </c>
      <c r="C10" s="37" t="s">
        <v>56</v>
      </c>
      <c r="D10" s="45"/>
      <c r="E10" s="24"/>
      <c r="F10" s="26" t="s">
        <v>50</v>
      </c>
      <c r="G10" s="24">
        <f>PI()/D7</f>
        <v>6283185.307179587</v>
      </c>
      <c r="H10" s="24"/>
      <c r="I10" s="24"/>
      <c r="J10" s="24"/>
      <c r="K10" s="12"/>
      <c r="L10" s="12"/>
      <c r="M10" s="12"/>
      <c r="N10" s="12"/>
      <c r="O10" s="12"/>
      <c r="P10" s="12"/>
      <c r="Q10" s="12"/>
      <c r="R10" s="24"/>
      <c r="S10" s="24" t="s">
        <v>63</v>
      </c>
      <c r="T10" s="24">
        <v>51000</v>
      </c>
      <c r="U10" s="24" t="s">
        <v>59</v>
      </c>
      <c r="V10" s="24"/>
      <c r="W10" s="24"/>
      <c r="X10" s="24"/>
      <c r="Y10" s="24">
        <v>8</v>
      </c>
      <c r="Z10" s="24">
        <f t="shared" si="1"/>
        <v>1.6356745907936145</v>
      </c>
      <c r="AA10" s="24" t="str">
        <f t="shared" si="10"/>
        <v>10.2772465562014i</v>
      </c>
      <c r="AB10" s="24">
        <f t="shared" si="2"/>
        <v>8.870967741935484</v>
      </c>
      <c r="AC10" s="24"/>
      <c r="AD10" s="24" t="str">
        <f t="shared" si="3"/>
        <v>0.999999797816301-0.00044892954025919i</v>
      </c>
      <c r="AE10" s="24" t="str">
        <f t="shared" si="4"/>
        <v>0.999999999982601-4.48042122030375E-06i</v>
      </c>
      <c r="AF10" s="24" t="str">
        <f t="shared" si="11"/>
        <v>7.06804655094148-0.00320472336238426i</v>
      </c>
      <c r="AG10" s="24">
        <f t="shared" si="5"/>
        <v>7.0680472774683381</v>
      </c>
      <c r="AH10" s="24">
        <f t="shared" si="12"/>
        <v>-4.5341002208703317E-4</v>
      </c>
      <c r="AI10" s="24">
        <f t="shared" si="0"/>
        <v>-2.597848065452044E-2</v>
      </c>
      <c r="AJ10" s="24">
        <f t="shared" si="13"/>
        <v>16.985988915944521</v>
      </c>
      <c r="AK10" s="24"/>
      <c r="AL10" s="24" t="str">
        <f t="shared" si="14"/>
        <v>0.999167728817329-0.0288371029638902i</v>
      </c>
      <c r="AM10" s="24" t="str">
        <f t="shared" si="15"/>
        <v>1.00000000075371+0.000230396449500749i</v>
      </c>
      <c r="AN10" s="24" t="str">
        <f t="shared" si="16"/>
        <v>-335.892661742074+9.61678708420227i</v>
      </c>
      <c r="AO10" s="24">
        <f t="shared" si="6"/>
        <v>336.03030042839623</v>
      </c>
      <c r="AP10" s="24">
        <f t="shared" si="7"/>
        <v>3.1129699362171559</v>
      </c>
      <c r="AQ10" s="24">
        <f t="shared" si="8"/>
        <v>178.3600390963521</v>
      </c>
      <c r="AR10" s="24">
        <f t="shared" si="9"/>
        <v>50.527568804673976</v>
      </c>
      <c r="AS10" s="24">
        <f t="shared" si="17"/>
        <v>67.513557720618493</v>
      </c>
      <c r="AT10" s="24">
        <f t="shared" si="18"/>
        <v>178.33406061569758</v>
      </c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s="1" customFormat="1">
      <c r="A11" s="8" t="s">
        <v>10</v>
      </c>
      <c r="B11" s="40" t="s">
        <v>82</v>
      </c>
      <c r="C11" s="37" t="s">
        <v>56</v>
      </c>
      <c r="D11" s="45"/>
      <c r="E11" s="24"/>
      <c r="F11" s="26" t="s">
        <v>53</v>
      </c>
      <c r="G11" s="24">
        <f>1/(PI()*(G8*(1-B17)-0.5))</f>
        <v>0.36507161053456333</v>
      </c>
      <c r="H11" s="24"/>
      <c r="I11" s="24"/>
      <c r="J11" s="24"/>
      <c r="K11" s="12"/>
      <c r="L11" s="12"/>
      <c r="M11" s="12"/>
      <c r="N11" s="12"/>
      <c r="O11" s="12"/>
      <c r="P11" s="12"/>
      <c r="Q11" s="12"/>
      <c r="R11" s="24"/>
      <c r="S11" s="24" t="s">
        <v>64</v>
      </c>
      <c r="T11" s="24">
        <v>1</v>
      </c>
      <c r="U11" s="24"/>
      <c r="V11" s="24"/>
      <c r="W11" s="24"/>
      <c r="X11" s="24"/>
      <c r="Y11" s="24">
        <v>9</v>
      </c>
      <c r="Z11" s="24">
        <f t="shared" si="1"/>
        <v>1.7394382689021479</v>
      </c>
      <c r="AA11" s="24" t="str">
        <f t="shared" si="10"/>
        <v>10.9292129739119i</v>
      </c>
      <c r="AB11" s="24">
        <f t="shared" si="2"/>
        <v>8.870967741935484</v>
      </c>
      <c r="AC11" s="24"/>
      <c r="AD11" s="24" t="str">
        <f t="shared" si="3"/>
        <v>0.999999771350448-0.000477408652081325i</v>
      </c>
      <c r="AE11" s="24" t="str">
        <f t="shared" si="4"/>
        <v>0.999999999980324-4.76464950623299E-06i</v>
      </c>
      <c r="AF11" s="24" t="str">
        <f>IMPRODUCT(AB11,AC$2,AD11,AE11)</f>
        <v>7.06804636200251-0.00340802402943651i</v>
      </c>
      <c r="AG11" s="24">
        <f t="shared" si="5"/>
        <v>7.0680471836317498</v>
      </c>
      <c r="AH11" s="24">
        <f t="shared" si="12"/>
        <v>-4.8217337447672396E-4</v>
      </c>
      <c r="AI11" s="24">
        <f t="shared" si="0"/>
        <v>-2.7626499351097251E-2</v>
      </c>
      <c r="AJ11" s="24">
        <f t="shared" si="13"/>
        <v>16.985988800629183</v>
      </c>
      <c r="AK11" s="24"/>
      <c r="AL11" s="24" t="str">
        <f t="shared" si="14"/>
        <v>0.999058886999178-0.0306631261801832i</v>
      </c>
      <c r="AM11" s="24" t="str">
        <f t="shared" si="15"/>
        <v>1.00000000085237+0.000245012304730966i</v>
      </c>
      <c r="AN11" s="24" t="str">
        <f t="shared" si="16"/>
        <v>-335.856364488608+10.2257413377977i</v>
      </c>
      <c r="AO11" s="24">
        <f t="shared" si="6"/>
        <v>336.01199882357213</v>
      </c>
      <c r="AP11" s="24">
        <f t="shared" si="7"/>
        <v>3.1111552869020662</v>
      </c>
      <c r="AQ11" s="24">
        <f t="shared" si="8"/>
        <v>178.25606734930116</v>
      </c>
      <c r="AR11" s="24">
        <f t="shared" si="9"/>
        <v>50.527095722191163</v>
      </c>
      <c r="AS11" s="24">
        <f t="shared" si="17"/>
        <v>67.51308452282035</v>
      </c>
      <c r="AT11" s="24">
        <f t="shared" si="18"/>
        <v>178.22844084995006</v>
      </c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s="1" customFormat="1">
      <c r="A12" s="8" t="s">
        <v>88</v>
      </c>
      <c r="B12" s="4">
        <v>1</v>
      </c>
      <c r="C12" s="37" t="s">
        <v>103</v>
      </c>
      <c r="D12" s="45"/>
      <c r="E12" s="24"/>
      <c r="F12" s="26" t="s">
        <v>55</v>
      </c>
      <c r="G12" s="32">
        <f>1/(D30*B31)*1000000</f>
        <v>7142857.1428571427</v>
      </c>
      <c r="H12" s="24"/>
      <c r="I12" s="24"/>
      <c r="J12" s="24"/>
      <c r="K12" s="12"/>
      <c r="L12" s="12"/>
      <c r="M12" s="12"/>
      <c r="N12" s="12"/>
      <c r="O12" s="12"/>
      <c r="P12" s="12"/>
      <c r="Q12" s="12"/>
      <c r="R12" s="24"/>
      <c r="S12" s="24" t="s">
        <v>65</v>
      </c>
      <c r="T12" s="24">
        <v>0.68</v>
      </c>
      <c r="U12" s="25" t="s">
        <v>56</v>
      </c>
      <c r="V12" s="24"/>
      <c r="W12" s="24"/>
      <c r="X12" s="24"/>
      <c r="Y12" s="24">
        <v>10</v>
      </c>
      <c r="Z12" s="24">
        <f t="shared" si="1"/>
        <v>1.849784491579884</v>
      </c>
      <c r="AA12" s="24" t="str">
        <f t="shared" si="10"/>
        <v>11.6225387389434i</v>
      </c>
      <c r="AB12" s="24">
        <f t="shared" si="2"/>
        <v>8.870967741935484</v>
      </c>
      <c r="AC12" s="24"/>
      <c r="AD12" s="24" t="str">
        <f t="shared" si="3"/>
        <v>0.999999741420216-0.000507694414937336i</v>
      </c>
      <c r="AE12" s="24" t="str">
        <f t="shared" si="4"/>
        <v>0.999999999977748-5.06690862331494E-06i</v>
      </c>
      <c r="AF12" s="24" t="str">
        <f t="shared" ref="AF12:AF75" si="19">IMPRODUCT(AB12,AC$2,AD12,AE12)</f>
        <v>7.06804614833143-0.00362422163521997i</v>
      </c>
      <c r="AG12" s="24">
        <f t="shared" si="5"/>
        <v>7.0680470775119506</v>
      </c>
      <c r="AH12" s="24">
        <f t="shared" si="12"/>
        <v>-5.1276141122021481E-4</v>
      </c>
      <c r="AI12" s="24">
        <f t="shared" si="0"/>
        <v>-2.9379064760090366E-2</v>
      </c>
      <c r="AJ12" s="24">
        <f t="shared" si="13"/>
        <v>16.985988670219065</v>
      </c>
      <c r="AK12" s="24"/>
      <c r="AL12" s="24" t="str">
        <f t="shared" si="14"/>
        <v>0.998935826349057-0.0326043123740366i</v>
      </c>
      <c r="AM12" s="24" t="str">
        <f t="shared" si="15"/>
        <v>1.00000000096394+0.000260555358381829i</v>
      </c>
      <c r="AN12" s="24" t="str">
        <f t="shared" si="16"/>
        <v>-335.815325449707+10.8731009001498i</v>
      </c>
      <c r="AO12" s="24">
        <f t="shared" si="6"/>
        <v>335.99130514059067</v>
      </c>
      <c r="AP12" s="24">
        <f t="shared" si="7"/>
        <v>3.1092257457575152</v>
      </c>
      <c r="AQ12" s="24">
        <f t="shared" si="8"/>
        <v>178.14551278532153</v>
      </c>
      <c r="AR12" s="24">
        <f t="shared" si="9"/>
        <v>50.526560775277723</v>
      </c>
      <c r="AS12" s="24">
        <f t="shared" si="17"/>
        <v>67.512549445496788</v>
      </c>
      <c r="AT12" s="24">
        <f t="shared" si="18"/>
        <v>178.11613372056144</v>
      </c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s="1" customFormat="1">
      <c r="A13" s="8" t="s">
        <v>11</v>
      </c>
      <c r="B13" s="40">
        <v>1E-3</v>
      </c>
      <c r="C13" s="37" t="s">
        <v>104</v>
      </c>
      <c r="D13" s="45"/>
      <c r="E13" s="24"/>
      <c r="F13" s="26"/>
      <c r="G13" s="30"/>
      <c r="H13" s="24"/>
      <c r="I13" s="24"/>
      <c r="J13" s="24"/>
      <c r="K13" s="12"/>
      <c r="L13" s="12"/>
      <c r="M13" s="12"/>
      <c r="N13" s="12"/>
      <c r="O13" s="12"/>
      <c r="P13" s="12"/>
      <c r="Q13" s="12"/>
      <c r="R13" s="24"/>
      <c r="S13" s="24" t="s">
        <v>66</v>
      </c>
      <c r="T13" s="33">
        <f>D30</f>
        <v>20</v>
      </c>
      <c r="U13" s="24"/>
      <c r="V13" s="24"/>
      <c r="W13" s="24"/>
      <c r="X13" s="24"/>
      <c r="Y13" s="24">
        <v>11</v>
      </c>
      <c r="Z13" s="24">
        <f t="shared" si="1"/>
        <v>1.967130841296868</v>
      </c>
      <c r="AA13" s="24" t="str">
        <f t="shared" si="10"/>
        <v>12.3598475993363i</v>
      </c>
      <c r="AB13" s="24">
        <f t="shared" si="2"/>
        <v>8.870967741935484</v>
      </c>
      <c r="AC13" s="24"/>
      <c r="AD13" s="24" t="str">
        <f t="shared" si="3"/>
        <v>0.999999707572118-0.000539901438362654i</v>
      </c>
      <c r="AE13" s="24" t="str">
        <f t="shared" si="4"/>
        <v>0.999999999974836-5.38834240869775E-06i</v>
      </c>
      <c r="AF13" s="24" t="str">
        <f t="shared" si="19"/>
        <v>7.06804590669083-0.00385413433007381i</v>
      </c>
      <c r="AG13" s="24">
        <f t="shared" si="5"/>
        <v>7.0680469575010898</v>
      </c>
      <c r="AH13" s="24">
        <f t="shared" si="12"/>
        <v>-5.4528988619441453E-4</v>
      </c>
      <c r="AI13" s="24">
        <f t="shared" si="0"/>
        <v>-3.1242809090108931E-2</v>
      </c>
      <c r="AJ13" s="24">
        <f t="shared" si="13"/>
        <v>16.985988522738285</v>
      </c>
      <c r="AK13" s="24"/>
      <c r="AL13" s="24" t="str">
        <f t="shared" si="14"/>
        <v>0.998796693576195-0.0346678305847782i</v>
      </c>
      <c r="AM13" s="24" t="str">
        <f t="shared" si="15"/>
        <v>1.00000000109012+0.000277084429926955i</v>
      </c>
      <c r="AN13" s="24" t="str">
        <f t="shared" si="16"/>
        <v>-335.76892657832+11.5612565497843i</v>
      </c>
      <c r="AO13" s="24">
        <f t="shared" si="6"/>
        <v>335.96790725985602</v>
      </c>
      <c r="AP13" s="24">
        <f t="shared" si="7"/>
        <v>3.1071740699459269</v>
      </c>
      <c r="AQ13" s="24">
        <f t="shared" si="8"/>
        <v>178.02796042038847</v>
      </c>
      <c r="AR13" s="24">
        <f t="shared" si="9"/>
        <v>50.525955883176664</v>
      </c>
      <c r="AS13" s="24">
        <f t="shared" si="17"/>
        <v>67.511944405914946</v>
      </c>
      <c r="AT13" s="24">
        <f t="shared" si="18"/>
        <v>177.99671761129835</v>
      </c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s="1" customFormat="1">
      <c r="A14" s="8"/>
      <c r="B14" s="12"/>
      <c r="C14" s="20"/>
      <c r="D14" s="45"/>
      <c r="E14" s="24"/>
      <c r="F14" s="26" t="s">
        <v>60</v>
      </c>
      <c r="G14" s="32">
        <f>(1/(B23*D30*1000000)+(G8*(1-B17)-0.5)/(D24/1000000*D30*1000000*B7)/1000000)*10^12</f>
        <v>22819.641676194424</v>
      </c>
      <c r="H14" s="24"/>
      <c r="I14" s="24"/>
      <c r="J14" s="24"/>
      <c r="K14" s="12"/>
      <c r="L14" s="12"/>
      <c r="M14" s="12"/>
      <c r="N14" s="12"/>
      <c r="O14" s="12"/>
      <c r="P14" s="12"/>
      <c r="Q14" s="12"/>
      <c r="R14" s="24"/>
      <c r="S14" s="24" t="s">
        <v>67</v>
      </c>
      <c r="T14" s="24">
        <f>B31</f>
        <v>7.0000000000000001E-3</v>
      </c>
      <c r="U14" s="24"/>
      <c r="V14" s="24"/>
      <c r="W14" s="24"/>
      <c r="X14" s="24"/>
      <c r="Y14" s="24">
        <v>12</v>
      </c>
      <c r="Z14" s="24">
        <f t="shared" si="1"/>
        <v>2.0919213910569279</v>
      </c>
      <c r="AA14" s="24" t="str">
        <f t="shared" si="10"/>
        <v>13.1439297480636i</v>
      </c>
      <c r="AB14" s="24">
        <f t="shared" si="2"/>
        <v>8.870967741935484</v>
      </c>
      <c r="AC14" s="24"/>
      <c r="AD14" s="24" t="str">
        <f t="shared" si="3"/>
        <v>0.999999669293303-0.00057415160236966i</v>
      </c>
      <c r="AE14" s="24" t="str">
        <f t="shared" si="4"/>
        <v>0.999999999971541-5.73016726209801E-06i</v>
      </c>
      <c r="AF14" s="24" t="str">
        <f t="shared" si="19"/>
        <v>7.06804563341945-0.00409863216528201i</v>
      </c>
      <c r="AG14" s="24">
        <f t="shared" si="5"/>
        <v>7.0680468217807801</v>
      </c>
      <c r="AH14" s="24">
        <f t="shared" si="12"/>
        <v>-5.7988189641794766E-4</v>
      </c>
      <c r="AI14" s="24">
        <f t="shared" si="0"/>
        <v>-3.3224785280790772E-2</v>
      </c>
      <c r="AJ14" s="24">
        <f t="shared" si="13"/>
        <v>16.985988355952234</v>
      </c>
      <c r="AK14" s="24"/>
      <c r="AL14" s="24" t="str">
        <f t="shared" si="14"/>
        <v>0.998639395006883-0.0368612770691591i</v>
      </c>
      <c r="AM14" s="24" t="str">
        <f t="shared" si="15"/>
        <v>1.00000000123282+0.000294662070220861i</v>
      </c>
      <c r="AN14" s="24" t="str">
        <f t="shared" si="16"/>
        <v>-335.716469662982+12.2927415365199i</v>
      </c>
      <c r="AO14" s="24">
        <f t="shared" si="6"/>
        <v>335.94145248459529</v>
      </c>
      <c r="AP14" s="24">
        <f t="shared" si="7"/>
        <v>3.1049925663867581</v>
      </c>
      <c r="AQ14" s="24">
        <f t="shared" si="8"/>
        <v>177.90296947345533</v>
      </c>
      <c r="AR14" s="24">
        <f t="shared" si="9"/>
        <v>50.525271912176407</v>
      </c>
      <c r="AS14" s="24">
        <f t="shared" si="17"/>
        <v>67.511260268128638</v>
      </c>
      <c r="AT14" s="24">
        <f t="shared" si="18"/>
        <v>177.86974468817453</v>
      </c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" customFormat="1">
      <c r="A15" s="8"/>
      <c r="B15" s="38" t="s">
        <v>106</v>
      </c>
      <c r="C15" s="20"/>
      <c r="D15" s="46" t="s">
        <v>92</v>
      </c>
      <c r="E15" s="24"/>
      <c r="F15" s="44" t="s">
        <v>71</v>
      </c>
      <c r="G15" s="44">
        <v>1400000</v>
      </c>
      <c r="H15" s="24"/>
      <c r="I15" s="24"/>
      <c r="J15" s="24"/>
      <c r="K15" s="12"/>
      <c r="L15" s="12"/>
      <c r="M15" s="12"/>
      <c r="N15" s="12"/>
      <c r="O15" s="12"/>
      <c r="P15" s="12"/>
      <c r="Q15" s="12"/>
      <c r="R15" s="24"/>
      <c r="S15" s="34" t="s">
        <v>68</v>
      </c>
      <c r="T15" s="24"/>
      <c r="U15" s="24"/>
      <c r="V15" s="24"/>
      <c r="W15" s="24"/>
      <c r="X15" s="24"/>
      <c r="Y15" s="24">
        <v>13</v>
      </c>
      <c r="Z15" s="24">
        <f t="shared" si="1"/>
        <v>2.2246283849001642</v>
      </c>
      <c r="AA15" s="24" t="str">
        <f t="shared" si="10"/>
        <v>13.9777523819394i</v>
      </c>
      <c r="AB15" s="24">
        <f t="shared" si="2"/>
        <v>8.870967741935484</v>
      </c>
      <c r="AC15" s="24"/>
      <c r="AD15" s="24" t="str">
        <f t="shared" si="3"/>
        <v>0.999999626003793-0.000610574518649733i</v>
      </c>
      <c r="AE15" s="24" t="str">
        <f t="shared" si="4"/>
        <v>0.999999999967816-6.09367674901404E-06i</v>
      </c>
      <c r="AF15" s="24" t="str">
        <f t="shared" si="19"/>
        <v>7.06804532437687-0.00435864038540518i</v>
      </c>
      <c r="AG15" s="24">
        <f t="shared" si="5"/>
        <v>7.068046668294695</v>
      </c>
      <c r="AH15" s="24">
        <f t="shared" si="12"/>
        <v>-6.1666834787712566E-4</v>
      </c>
      <c r="AI15" s="24">
        <f t="shared" si="0"/>
        <v>-3.5332493692664536E-2</v>
      </c>
      <c r="AJ15" s="24">
        <f t="shared" si="13"/>
        <v>16.9859881673339</v>
      </c>
      <c r="AK15" s="24"/>
      <c r="AL15" s="24" t="str">
        <f t="shared" si="14"/>
        <v>0.9984615657329-0.0391926968593045i</v>
      </c>
      <c r="AM15" s="24" t="str">
        <f t="shared" si="15"/>
        <v>1.0000000013942+0.000313354798209734i</v>
      </c>
      <c r="AN15" s="24" t="str">
        <f t="shared" si="16"/>
        <v>-335.657166039239+13.0702387707584i</v>
      </c>
      <c r="AO15" s="24">
        <f t="shared" si="6"/>
        <v>335.91154230692621</v>
      </c>
      <c r="AP15" s="24">
        <f t="shared" si="7"/>
        <v>3.1026730650551717</v>
      </c>
      <c r="AQ15" s="24">
        <f t="shared" si="8"/>
        <v>177.77007183658046</v>
      </c>
      <c r="AR15" s="24">
        <f t="shared" si="9"/>
        <v>50.524498539118682</v>
      </c>
      <c r="AS15" s="24">
        <f t="shared" si="17"/>
        <v>67.510486706452582</v>
      </c>
      <c r="AT15" s="24">
        <f t="shared" si="18"/>
        <v>177.73473934288779</v>
      </c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</row>
    <row r="16" spans="1:71" s="1" customFormat="1">
      <c r="A16" s="9" t="s">
        <v>84</v>
      </c>
      <c r="B16" s="12"/>
      <c r="C16" s="12"/>
      <c r="D16" s="13"/>
      <c r="E16" s="12"/>
      <c r="F16" s="31" t="s">
        <v>75</v>
      </c>
      <c r="G16" s="19">
        <f>1/D46/G18</f>
        <v>43982.297150257109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24"/>
      <c r="S16" s="24" t="s">
        <v>69</v>
      </c>
      <c r="T16" s="24">
        <f>1*10^-13</f>
        <v>1E-13</v>
      </c>
      <c r="U16" s="24" t="s">
        <v>70</v>
      </c>
      <c r="V16" s="24"/>
      <c r="W16" s="24"/>
      <c r="X16" s="24"/>
      <c r="Y16" s="24">
        <v>14</v>
      </c>
      <c r="Z16" s="24">
        <f t="shared" si="1"/>
        <v>2.365754025012901</v>
      </c>
      <c r="AA16" s="24" t="str">
        <f t="shared" si="10"/>
        <v>14.864470930362i</v>
      </c>
      <c r="AB16" s="24">
        <f t="shared" si="2"/>
        <v>8.870967741935484</v>
      </c>
      <c r="AC16" s="24"/>
      <c r="AD16" s="24" t="str">
        <f t="shared" si="3"/>
        <v>0.999999577047688-0.000649308021028639i</v>
      </c>
      <c r="AE16" s="24" t="str">
        <f t="shared" si="4"/>
        <v>0.999999999963603-6.48024649595713E-06i</v>
      </c>
      <c r="AF16" s="24" t="str">
        <f t="shared" si="19"/>
        <v>7.06804497488062-0.00463514292943981i</v>
      </c>
      <c r="AG16" s="24">
        <f t="shared" si="5"/>
        <v>7.068046494717275</v>
      </c>
      <c r="AH16" s="24">
        <f t="shared" si="12"/>
        <v>-6.5578845090147699E-4</v>
      </c>
      <c r="AI16" s="24">
        <f t="shared" si="0"/>
        <v>-3.7573910490076835E-2</v>
      </c>
      <c r="AJ16" s="24">
        <f t="shared" si="13"/>
        <v>16.985987954025415</v>
      </c>
      <c r="AK16" s="24"/>
      <c r="AL16" s="24" t="str">
        <f t="shared" si="14"/>
        <v>0.998260534891704-0.0416706055803461i</v>
      </c>
      <c r="AM16" s="24" t="str">
        <f t="shared" si="15"/>
        <v>1.0000000015767+0.000333233352658642i</v>
      </c>
      <c r="AN16" s="24" t="str">
        <f t="shared" si="16"/>
        <v>-335.590125011064+13.8965880993752i</v>
      </c>
      <c r="AO16" s="24">
        <f t="shared" si="6"/>
        <v>335.87772651032589</v>
      </c>
      <c r="AP16" s="24">
        <f t="shared" si="7"/>
        <v>3.1002068909608669</v>
      </c>
      <c r="AQ16" s="24">
        <f t="shared" si="8"/>
        <v>177.62877046943228</v>
      </c>
      <c r="AR16" s="24">
        <f t="shared" si="9"/>
        <v>50.523624097411513</v>
      </c>
      <c r="AS16" s="24">
        <f t="shared" si="17"/>
        <v>67.509612051436932</v>
      </c>
      <c r="AT16" s="24">
        <f t="shared" si="18"/>
        <v>177.59119655894222</v>
      </c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</row>
    <row r="17" spans="1:71" s="1" customFormat="1">
      <c r="A17" s="8" t="s">
        <v>12</v>
      </c>
      <c r="B17" s="14">
        <f>(B5+B6*B25+B10*B6)/(B4)</f>
        <v>0.26632258064516129</v>
      </c>
      <c r="C17" s="21"/>
      <c r="D17" s="13"/>
      <c r="E17" s="12"/>
      <c r="F17" s="8" t="s">
        <v>77</v>
      </c>
      <c r="G17" s="19">
        <f>1/B42/G18</f>
        <v>356.09308996517183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24"/>
      <c r="S17" s="24" t="s">
        <v>71</v>
      </c>
      <c r="T17" s="24">
        <f>B42</f>
        <v>1400000</v>
      </c>
      <c r="U17" s="25" t="s">
        <v>56</v>
      </c>
      <c r="V17" s="24"/>
      <c r="W17" s="24"/>
      <c r="X17" s="24"/>
      <c r="Y17" s="24">
        <v>15</v>
      </c>
      <c r="Z17" s="24">
        <f t="shared" si="1"/>
        <v>2.5158323722080485</v>
      </c>
      <c r="AA17" s="24" t="str">
        <f t="shared" si="10"/>
        <v>15.8074409963844i</v>
      </c>
      <c r="AB17" s="24">
        <f t="shared" si="2"/>
        <v>8.870967741935484</v>
      </c>
      <c r="AC17" s="24"/>
      <c r="AD17" s="24" t="str">
        <f t="shared" si="3"/>
        <v>0.999999521683232-0.000690498687030143i</v>
      </c>
      <c r="AE17" s="24" t="str">
        <f t="shared" si="4"/>
        <v>0.999999999958838-6.89133939622574E-06i</v>
      </c>
      <c r="AF17" s="24" t="str">
        <f t="shared" si="19"/>
        <v>7.06804457963534-0.00492918615404638i</v>
      </c>
      <c r="AG17" s="24">
        <f t="shared" si="5"/>
        <v>7.0680462984185839</v>
      </c>
      <c r="AH17" s="24">
        <f t="shared" si="12"/>
        <v>-6.9739024696307867E-4</v>
      </c>
      <c r="AI17" s="24">
        <f t="shared" si="0"/>
        <v>-3.9957517824570583E-2</v>
      </c>
      <c r="AJ17" s="24">
        <f t="shared" si="13"/>
        <v>16.985987712794859</v>
      </c>
      <c r="AK17" s="24"/>
      <c r="AL17" s="24" t="str">
        <f t="shared" si="14"/>
        <v>0.99803328661897-0.0443040113252408i</v>
      </c>
      <c r="AM17" s="24" t="str">
        <f t="shared" si="15"/>
        <v>1.00000000178309+0.000354372959847762i</v>
      </c>
      <c r="AN17" s="24" t="str">
        <f t="shared" si="16"/>
        <v>-335.514340829073+14.7747936006818i</v>
      </c>
      <c r="AO17" s="24">
        <f t="shared" si="6"/>
        <v>335.83949652759742</v>
      </c>
      <c r="AP17" s="24">
        <f t="shared" si="7"/>
        <v>3.0975848347980106</v>
      </c>
      <c r="AQ17" s="24">
        <f t="shared" si="8"/>
        <v>177.47853771765435</v>
      </c>
      <c r="AR17" s="24">
        <f t="shared" si="9"/>
        <v>50.522635403360468</v>
      </c>
      <c r="AS17" s="24">
        <f t="shared" si="17"/>
        <v>67.50862311615532</v>
      </c>
      <c r="AT17" s="24">
        <f t="shared" si="18"/>
        <v>177.43858019982977</v>
      </c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</row>
    <row r="18" spans="1:71" s="1" customFormat="1">
      <c r="A18" s="8" t="s">
        <v>13</v>
      </c>
      <c r="B18" s="14">
        <f>B8/100*B4</f>
        <v>1.55E-2</v>
      </c>
      <c r="C18" s="19" t="s">
        <v>100</v>
      </c>
      <c r="D18" s="13"/>
      <c r="E18" s="12"/>
      <c r="F18" s="31" t="s">
        <v>94</v>
      </c>
      <c r="G18" s="29">
        <f>D47/1000000000000</f>
        <v>2.0058960266698128E-9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4" t="s">
        <v>72</v>
      </c>
      <c r="T18" s="24">
        <v>0</v>
      </c>
      <c r="U18" s="25" t="s">
        <v>56</v>
      </c>
      <c r="V18" s="24"/>
      <c r="W18" s="24"/>
      <c r="X18" s="24"/>
      <c r="Y18" s="24">
        <v>16</v>
      </c>
      <c r="Z18" s="24">
        <f t="shared" si="1"/>
        <v>2.6754313669678584</v>
      </c>
      <c r="AA18" s="24" t="str">
        <f t="shared" si="10"/>
        <v>16.8102310552998i</v>
      </c>
      <c r="AB18" s="24">
        <f t="shared" si="2"/>
        <v>8.870967741935484</v>
      </c>
      <c r="AC18" s="24"/>
      <c r="AD18" s="24" t="str">
        <f t="shared" si="3"/>
        <v>0.999999459071573-0.000734302392520204i</v>
      </c>
      <c r="AE18" s="24" t="str">
        <f t="shared" si="4"/>
        <v>0.999999999953451-7.32851114592259E-06i</v>
      </c>
      <c r="AF18" s="24" t="str">
        <f t="shared" si="19"/>
        <v>7.06804413265249-0.00524188279292618i</v>
      </c>
      <c r="AG18" s="24">
        <f t="shared" si="5"/>
        <v>7.0680460764244115</v>
      </c>
      <c r="AH18" s="24">
        <f t="shared" si="12"/>
        <v>-7.4163116889279968E-4</v>
      </c>
      <c r="AI18" s="24">
        <f t="shared" si="0"/>
        <v>-4.2492335932911365E-2</v>
      </c>
      <c r="AJ18" s="24">
        <f t="shared" si="13"/>
        <v>16.985987439987234</v>
      </c>
      <c r="AK18" s="24"/>
      <c r="AL18" s="24" t="str">
        <f t="shared" si="14"/>
        <v>0.997776416166806-0.0471024363290326i</v>
      </c>
      <c r="AM18" s="24" t="str">
        <f t="shared" si="15"/>
        <v>1.00000000201649+0.000376853618250681i</v>
      </c>
      <c r="AN18" s="24" t="str">
        <f t="shared" si="16"/>
        <v>-335.428678056542+15.7080308125053i</v>
      </c>
      <c r="AO18" s="24">
        <f t="shared" si="6"/>
        <v>335.79627796443179</v>
      </c>
      <c r="AP18" s="24">
        <f t="shared" si="7"/>
        <v>3.0947971222713906</v>
      </c>
      <c r="AQ18" s="24">
        <f t="shared" si="8"/>
        <v>177.31881355538329</v>
      </c>
      <c r="AR18" s="24">
        <f t="shared" si="9"/>
        <v>50.521517560372509</v>
      </c>
      <c r="AS18" s="24">
        <f t="shared" si="17"/>
        <v>67.507505000359743</v>
      </c>
      <c r="AT18" s="24">
        <f t="shared" si="18"/>
        <v>177.27632121945038</v>
      </c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</row>
    <row r="19" spans="1:71" s="1" customFormat="1">
      <c r="A19" s="8" t="s">
        <v>14</v>
      </c>
      <c r="B19" s="14">
        <f>(B6*(1-B17)*B17)/(B7*B18)/1000000*1000000</f>
        <v>7.5636721425934015</v>
      </c>
      <c r="C19" s="19" t="s">
        <v>108</v>
      </c>
      <c r="D19" s="6">
        <v>330</v>
      </c>
      <c r="E19" s="13" t="s">
        <v>108</v>
      </c>
      <c r="F19" s="35" t="s">
        <v>95</v>
      </c>
      <c r="G19" s="19">
        <f>D48/1000000000000</f>
        <v>2.8082544373377386E-11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4" t="s">
        <v>73</v>
      </c>
      <c r="T19" s="24">
        <f>B13</f>
        <v>1E-3</v>
      </c>
      <c r="U19" s="24"/>
      <c r="V19" s="24"/>
      <c r="W19" s="24"/>
      <c r="X19" s="24"/>
      <c r="Y19" s="24">
        <v>17</v>
      </c>
      <c r="Z19" s="24">
        <f t="shared" si="1"/>
        <v>2.8451549786972743</v>
      </c>
      <c r="AA19" s="24" t="str">
        <f t="shared" si="10"/>
        <v>17.8766359587996i</v>
      </c>
      <c r="AB19" s="24">
        <f t="shared" si="2"/>
        <v>8.870967741935484</v>
      </c>
      <c r="AC19" s="24"/>
      <c r="AD19" s="24" t="str">
        <f t="shared" si="3"/>
        <v>0.999999388264053-0.000780884901529125i</v>
      </c>
      <c r="AE19" s="24" t="str">
        <f t="shared" si="4"/>
        <v>0.999999999947358-7.79341613116521E-06i</v>
      </c>
      <c r="AF19" s="24" t="str">
        <f t="shared" si="19"/>
        <v>7.06804362715961-0.00557441616731901i</v>
      </c>
      <c r="AG19" s="24">
        <f t="shared" si="5"/>
        <v>7.0680458253711951</v>
      </c>
      <c r="AH19" s="24">
        <f t="shared" si="12"/>
        <v>-7.8867863663298191E-4</v>
      </c>
      <c r="AI19" s="24">
        <f t="shared" si="0"/>
        <v>-4.5187957271201701E-2</v>
      </c>
      <c r="AJ19" s="24">
        <f t="shared" si="13"/>
        <v>16.985987131469077</v>
      </c>
      <c r="AK19" s="24"/>
      <c r="AL19" s="24" t="str">
        <f t="shared" si="14"/>
        <v>0.99748608063099-0.0500759381181872i</v>
      </c>
      <c r="AM19" s="24" t="str">
        <f t="shared" si="15"/>
        <v>1.00000000228045+0.000400760401272098i</v>
      </c>
      <c r="AN19" s="24" t="str">
        <f t="shared" si="16"/>
        <v>-335.331855137626+16.6996537852137i</v>
      </c>
      <c r="AO19" s="24">
        <f t="shared" si="6"/>
        <v>335.7474221890435</v>
      </c>
      <c r="AP19" s="24">
        <f t="shared" si="7"/>
        <v>3.091833382121794</v>
      </c>
      <c r="AQ19" s="24">
        <f t="shared" si="8"/>
        <v>177.14900375323791</v>
      </c>
      <c r="AR19" s="24">
        <f t="shared" si="9"/>
        <v>50.520253738304461</v>
      </c>
      <c r="AS19" s="24">
        <f t="shared" si="17"/>
        <v>67.506240869773535</v>
      </c>
      <c r="AT19" s="24">
        <f t="shared" si="18"/>
        <v>177.10381579596671</v>
      </c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</row>
    <row r="20" spans="1:71" s="1" customFormat="1">
      <c r="A20" s="8" t="s">
        <v>15</v>
      </c>
      <c r="B20" s="14">
        <f>B6*SQRT(B17*(1-B17))</f>
        <v>0.53044189474859027</v>
      </c>
      <c r="C20" s="19" t="s">
        <v>101</v>
      </c>
      <c r="D20" s="13"/>
      <c r="E20" s="12"/>
      <c r="F20" s="35" t="s">
        <v>76</v>
      </c>
      <c r="G20" s="19">
        <f>1/D46/D48*1000000000000</f>
        <v>3141592.653589793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4" t="s">
        <v>74</v>
      </c>
      <c r="T20" s="24">
        <v>0</v>
      </c>
      <c r="U20" s="24"/>
      <c r="V20" s="24"/>
      <c r="W20" s="24"/>
      <c r="X20" s="24"/>
      <c r="Y20" s="24">
        <v>18</v>
      </c>
      <c r="Z20" s="24">
        <f t="shared" si="1"/>
        <v>3.0256454913213009</v>
      </c>
      <c r="AA20" s="24" t="str">
        <f t="shared" si="10"/>
        <v>19.0106912958042i</v>
      </c>
      <c r="AB20" s="24">
        <f t="shared" si="2"/>
        <v>8.870967741935484</v>
      </c>
      <c r="AC20" s="24"/>
      <c r="AD20" s="24" t="str">
        <f t="shared" si="3"/>
        <v>0.999999308187837-0.000830422493481623i</v>
      </c>
      <c r="AE20" s="24" t="str">
        <f t="shared" si="4"/>
        <v>0.999999999940467-8.28781368876785E-06i</v>
      </c>
      <c r="AF20" s="24" t="str">
        <f t="shared" si="19"/>
        <v>7.06804305549778-0.00592804466354067i</v>
      </c>
      <c r="AG20" s="24">
        <f t="shared" si="5"/>
        <v>7.0680455414551435</v>
      </c>
      <c r="AH20" s="24">
        <f t="shared" si="12"/>
        <v>-8.3871069078028529E-4</v>
      </c>
      <c r="AI20" s="24">
        <f t="shared" si="0"/>
        <v>-4.8054582814212196E-2</v>
      </c>
      <c r="AJ20" s="24">
        <f t="shared" si="13"/>
        <v>16.985986782565913</v>
      </c>
      <c r="AK20" s="24"/>
      <c r="AL20" s="24" t="str">
        <f t="shared" si="14"/>
        <v>0.997157943678442-0.0532351297304979i</v>
      </c>
      <c r="AM20" s="24" t="str">
        <f t="shared" si="15"/>
        <v>1.00000000257896+0.000426183779190509i</v>
      </c>
      <c r="AN20" s="24" t="str">
        <f t="shared" si="16"/>
        <v>-335.222425964719+17.7532018247885i</v>
      </c>
      <c r="AO20" s="24">
        <f t="shared" si="6"/>
        <v>335.6921968778887</v>
      </c>
      <c r="AP20" s="24">
        <f t="shared" si="7"/>
        <v>3.0886826128960445</v>
      </c>
      <c r="AQ20" s="24">
        <f t="shared" si="8"/>
        <v>176.96847797438278</v>
      </c>
      <c r="AR20" s="24">
        <f t="shared" si="9"/>
        <v>50.51882492491491</v>
      </c>
      <c r="AS20" s="24">
        <f t="shared" si="17"/>
        <v>67.504811707480826</v>
      </c>
      <c r="AT20" s="24">
        <f t="shared" si="18"/>
        <v>176.92042339156856</v>
      </c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</row>
    <row r="21" spans="1:71" s="1" customFormat="1">
      <c r="A21" s="8"/>
      <c r="B21" s="12"/>
      <c r="C21" s="19"/>
      <c r="D21" s="13"/>
      <c r="E21" s="12"/>
      <c r="F21" s="29"/>
      <c r="G21" s="31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4" t="s">
        <v>75</v>
      </c>
      <c r="T21" s="24">
        <f>G16</f>
        <v>43982.297150257109</v>
      </c>
      <c r="U21" s="24"/>
      <c r="V21" s="24"/>
      <c r="W21" s="24"/>
      <c r="X21" s="24"/>
      <c r="Y21" s="24">
        <v>19</v>
      </c>
      <c r="Z21" s="24">
        <f t="shared" si="1"/>
        <v>3.2175859338757533</v>
      </c>
      <c r="AA21" s="24" t="str">
        <f t="shared" si="10"/>
        <v>20.2166886643158i</v>
      </c>
      <c r="AB21" s="24">
        <f t="shared" si="2"/>
        <v>8.870967741935484</v>
      </c>
      <c r="AC21" s="24"/>
      <c r="AD21" s="24" t="str">
        <f t="shared" si="3"/>
        <v>0.999999217629655-0.000883102630206198i</v>
      </c>
      <c r="AE21" s="24" t="str">
        <f t="shared" si="4"/>
        <v>0.999999999932674-8.81357476408809E-06i</v>
      </c>
      <c r="AF21" s="24" t="str">
        <f t="shared" si="19"/>
        <v>7.06804240900549-0.00630410649448853i</v>
      </c>
      <c r="AG21" s="24">
        <f t="shared" si="5"/>
        <v>7.0680452203745006</v>
      </c>
      <c r="AH21" s="24">
        <f t="shared" si="12"/>
        <v>-8.9191666631557778E-4</v>
      </c>
      <c r="AI21" s="24">
        <f t="shared" si="0"/>
        <v>-5.1103060657260765E-2</v>
      </c>
      <c r="AJ21" s="24">
        <f t="shared" si="13"/>
        <v>16.985986387991336</v>
      </c>
      <c r="AK21" s="24"/>
      <c r="AL21" s="24" t="str">
        <f t="shared" si="14"/>
        <v>0.99678711361282-0.0565911985050969i</v>
      </c>
      <c r="AM21" s="24" t="str">
        <f t="shared" si="15"/>
        <v>1.00000000291655+0.000453219961524301i</v>
      </c>
      <c r="AN21" s="24" t="str">
        <f t="shared" si="16"/>
        <v>-335.098759224187+18.8724057590494i</v>
      </c>
      <c r="AO21" s="24">
        <f t="shared" si="6"/>
        <v>335.62977539652803</v>
      </c>
      <c r="AP21" s="24">
        <f t="shared" si="7"/>
        <v>3.0853331485349309</v>
      </c>
      <c r="AQ21" s="24">
        <f t="shared" si="8"/>
        <v>176.77656780286148</v>
      </c>
      <c r="AR21" s="24">
        <f t="shared" si="9"/>
        <v>50.517209646040996</v>
      </c>
      <c r="AS21" s="24">
        <f t="shared" si="17"/>
        <v>67.503196034032328</v>
      </c>
      <c r="AT21" s="24">
        <f t="shared" si="18"/>
        <v>176.72546474220422</v>
      </c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</row>
    <row r="22" spans="1:71" s="1" customFormat="1">
      <c r="A22" s="9" t="s">
        <v>86</v>
      </c>
      <c r="B22" s="12"/>
      <c r="C22" s="12"/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4" t="s">
        <v>76</v>
      </c>
      <c r="T22" s="24">
        <f>G20</f>
        <v>3141592.653589793</v>
      </c>
      <c r="U22" s="24"/>
      <c r="V22" s="24"/>
      <c r="W22" s="24"/>
      <c r="X22" s="24"/>
      <c r="Y22" s="24">
        <v>20</v>
      </c>
      <c r="Z22" s="24">
        <f t="shared" si="1"/>
        <v>3.42170266528945</v>
      </c>
      <c r="AA22" s="24" t="str">
        <f t="shared" si="10"/>
        <v>21.4991919120839i</v>
      </c>
      <c r="AB22" s="24">
        <f t="shared" si="2"/>
        <v>8.870967741935484</v>
      </c>
      <c r="AC22" s="24"/>
      <c r="AD22" s="24" t="str">
        <f t="shared" si="3"/>
        <v>0.999999115217421-0.000939124665244995i</v>
      </c>
      <c r="AE22" s="24" t="str">
        <f t="shared" si="4"/>
        <v>0.999999999923861-9.37268899123293E-06i</v>
      </c>
      <c r="AF22" s="24" t="str">
        <f t="shared" si="19"/>
        <v>7.06804167788746-0.00670402476311286i</v>
      </c>
      <c r="AG22" s="24">
        <f t="shared" si="5"/>
        <v>7.0680448572644323</v>
      </c>
      <c r="AH22" s="24">
        <f t="shared" si="12"/>
        <v>-9.4849790906935091E-4</v>
      </c>
      <c r="AI22" s="24">
        <f t="shared" si="0"/>
        <v>-5.4344927066657132E-2</v>
      </c>
      <c r="AJ22" s="24">
        <f t="shared" si="13"/>
        <v>16.985985941766959</v>
      </c>
      <c r="AK22" s="24"/>
      <c r="AL22" s="24" t="str">
        <f t="shared" si="14"/>
        <v>0.996368074062759-0.0601559228274938i</v>
      </c>
      <c r="AM22" s="24" t="str">
        <f t="shared" si="15"/>
        <v>1.00000000329832+0.00048197126111677i</v>
      </c>
      <c r="AN22" s="24" t="str">
        <f t="shared" si="16"/>
        <v>-334.959015281838+20.0611935219084i</v>
      </c>
      <c r="AO22" s="24">
        <f t="shared" si="6"/>
        <v>335.55922488303315</v>
      </c>
      <c r="AP22" s="24">
        <f t="shared" si="7"/>
        <v>3.0817726228865454</v>
      </c>
      <c r="AQ22" s="24">
        <f t="shared" si="8"/>
        <v>176.57256471036089</v>
      </c>
      <c r="AR22" s="24">
        <f t="shared" si="9"/>
        <v>50.515383650751659</v>
      </c>
      <c r="AS22" s="24">
        <f t="shared" si="17"/>
        <v>67.501369592518614</v>
      </c>
      <c r="AT22" s="24">
        <f t="shared" si="18"/>
        <v>176.51821978329423</v>
      </c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</row>
    <row r="23" spans="1:71" s="1" customFormat="1">
      <c r="A23" s="8" t="s">
        <v>97</v>
      </c>
      <c r="B23" s="14">
        <f>B5/B6</f>
        <v>2.75</v>
      </c>
      <c r="C23" s="37" t="s">
        <v>56</v>
      </c>
      <c r="D23" s="1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4" t="s">
        <v>77</v>
      </c>
      <c r="T23" s="24">
        <f>G17</f>
        <v>356.09308996517183</v>
      </c>
      <c r="U23" s="24"/>
      <c r="V23" s="24"/>
      <c r="W23" s="24"/>
      <c r="X23" s="24"/>
      <c r="Y23" s="24">
        <v>21</v>
      </c>
      <c r="Z23" s="24">
        <f t="shared" si="1"/>
        <v>3.6387681231394358</v>
      </c>
      <c r="AA23" s="24" t="str">
        <f t="shared" si="10"/>
        <v>22.8630544075431i</v>
      </c>
      <c r="AB23" s="24">
        <f t="shared" si="2"/>
        <v>8.870967741935484</v>
      </c>
      <c r="AC23" s="24"/>
      <c r="AD23" s="24" t="str">
        <f t="shared" si="3"/>
        <v>0.999998999399446-0.000998700598144989i</v>
      </c>
      <c r="AE23" s="24" t="str">
        <f t="shared" si="4"/>
        <v>0.999999999913894-9.96727222241726E-06i</v>
      </c>
      <c r="AF23" s="24" t="str">
        <f t="shared" si="19"/>
        <v>7.06804085106622-0.00712931284699131i</v>
      </c>
      <c r="AG23" s="24">
        <f t="shared" si="5"/>
        <v>7.0680444466233068</v>
      </c>
      <c r="AH23" s="24">
        <f t="shared" si="12"/>
        <v>-1.0086685376328882E-3</v>
      </c>
      <c r="AI23" s="24">
        <f t="shared" si="0"/>
        <v>-5.7792450133997142E-2</v>
      </c>
      <c r="AJ23" s="24">
        <f t="shared" si="13"/>
        <v>16.985985437131848</v>
      </c>
      <c r="AK23" s="24"/>
      <c r="AL23" s="24" t="str">
        <f t="shared" si="14"/>
        <v>0.995894606525896-0.063941686078231i</v>
      </c>
      <c r="AM23" s="24" t="str">
        <f t="shared" si="15"/>
        <v>1.00000000373008+0.000512546481317922i</v>
      </c>
      <c r="AN23" s="24" t="str">
        <f t="shared" si="16"/>
        <v>-334.801120352438+21.3236948050707i</v>
      </c>
      <c r="AO23" s="24">
        <f t="shared" si="6"/>
        <v>335.47949288948718</v>
      </c>
      <c r="AP23" s="24">
        <f t="shared" si="7"/>
        <v>3.0779879332945459</v>
      </c>
      <c r="AQ23" s="24">
        <f t="shared" si="8"/>
        <v>176.35571796997223</v>
      </c>
      <c r="AR23" s="24">
        <f t="shared" si="9"/>
        <v>50.513319557335052</v>
      </c>
      <c r="AS23" s="24">
        <f t="shared" si="17"/>
        <v>67.499304994466897</v>
      </c>
      <c r="AT23" s="24">
        <f t="shared" si="18"/>
        <v>176.29792551983823</v>
      </c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</row>
    <row r="24" spans="1:71" s="1" customFormat="1">
      <c r="A24" s="8" t="s">
        <v>98</v>
      </c>
      <c r="B24" s="14">
        <f>(B5*(1-B17))/(B7*B9*B6)*100/1000000*1000000</f>
        <v>3.3626881720430108</v>
      </c>
      <c r="C24" s="19" t="s">
        <v>109</v>
      </c>
      <c r="D24" s="6">
        <v>4.7</v>
      </c>
      <c r="E24" s="13" t="s">
        <v>109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4" t="s">
        <v>78</v>
      </c>
      <c r="T24" s="24">
        <f>D47</f>
        <v>2005.8960266698127</v>
      </c>
      <c r="U24" s="24" t="s">
        <v>70</v>
      </c>
      <c r="V24" s="24"/>
      <c r="W24" s="24"/>
      <c r="X24" s="24"/>
      <c r="Y24" s="24">
        <v>22</v>
      </c>
      <c r="Z24" s="24">
        <f t="shared" si="1"/>
        <v>3.8696037467813236</v>
      </c>
      <c r="AA24" s="24" t="str">
        <f t="shared" si="10"/>
        <v>24.3134374063835i</v>
      </c>
      <c r="AB24" s="24">
        <f t="shared" si="2"/>
        <v>8.870967741935484</v>
      </c>
      <c r="AC24" s="24"/>
      <c r="AD24" s="24" t="str">
        <f t="shared" si="3"/>
        <v>0.999998868420922-0.00106205587658088i</v>
      </c>
      <c r="AE24" s="24" t="str">
        <f t="shared" si="4"/>
        <v>0.999999999902623-0.0000105995745349695i</v>
      </c>
      <c r="AF24" s="24" t="str">
        <f t="shared" si="19"/>
        <v>7.06803991601426-0.00758158012435439i</v>
      </c>
      <c r="AG24" s="24">
        <f t="shared" si="5"/>
        <v>7.068043982229316</v>
      </c>
      <c r="AH24" s="24">
        <f t="shared" si="12"/>
        <v>-1.0726562535971693E-3</v>
      </c>
      <c r="AI24" s="24">
        <f t="shared" si="0"/>
        <v>-6.1458676199432329E-2</v>
      </c>
      <c r="AJ24" s="24">
        <f t="shared" si="13"/>
        <v>16.985984866440038</v>
      </c>
      <c r="AK24" s="24"/>
      <c r="AL24" s="24" t="str">
        <f t="shared" si="14"/>
        <v>0.995359703954736-0.0679614868721739i</v>
      </c>
      <c r="AM24" s="24" t="str">
        <f t="shared" si="15"/>
        <v>1.00000000421834+0.000545061327728266i</v>
      </c>
      <c r="AN24" s="24" t="str">
        <f t="shared" si="16"/>
        <v>-334.622737681744+22.6642444727117i</v>
      </c>
      <c r="AO24" s="24">
        <f t="shared" si="6"/>
        <v>335.38939242490079</v>
      </c>
      <c r="AP24" s="24">
        <f t="shared" si="7"/>
        <v>3.0739652034619707</v>
      </c>
      <c r="AQ24" s="24">
        <f t="shared" si="8"/>
        <v>176.12523252844431</v>
      </c>
      <c r="AR24" s="24">
        <f t="shared" si="9"/>
        <v>50.51098645555146</v>
      </c>
      <c r="AS24" s="24">
        <f t="shared" si="17"/>
        <v>67.496971321991495</v>
      </c>
      <c r="AT24" s="24">
        <f t="shared" si="18"/>
        <v>176.06377385224488</v>
      </c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</row>
    <row r="25" spans="1:71" s="1" customFormat="1">
      <c r="A25" s="8" t="s">
        <v>17</v>
      </c>
      <c r="B25" s="4">
        <v>0.04</v>
      </c>
      <c r="C25" s="37" t="s">
        <v>56</v>
      </c>
      <c r="D25" s="1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4" t="s">
        <v>79</v>
      </c>
      <c r="T25" s="24">
        <f>D48</f>
        <v>28.082544373377385</v>
      </c>
      <c r="U25" s="24" t="s">
        <v>70</v>
      </c>
      <c r="V25" s="24"/>
      <c r="W25" s="24"/>
      <c r="X25" s="24"/>
      <c r="Y25" s="24">
        <v>23</v>
      </c>
      <c r="Z25" s="24">
        <f t="shared" si="1"/>
        <v>4.1150830859167291</v>
      </c>
      <c r="AA25" s="24" t="str">
        <f t="shared" si="10"/>
        <v>25.8558295832552i</v>
      </c>
      <c r="AB25" s="24">
        <f t="shared" si="2"/>
        <v>8.870967741935484</v>
      </c>
      <c r="AC25" s="24"/>
      <c r="AD25" s="24" t="str">
        <f t="shared" si="3"/>
        <v>0.999998720297344-0.00112943024934006i</v>
      </c>
      <c r="AE25" s="24" t="str">
        <f t="shared" si="4"/>
        <v>0.999999999889876-0.0000112719887462837i</v>
      </c>
      <c r="AF25" s="24" t="str">
        <f t="shared" si="19"/>
        <v>7.06803885856423-0.00806253806319418i</v>
      </c>
      <c r="AG25" s="24">
        <f t="shared" si="5"/>
        <v>7.0680434570462261</v>
      </c>
      <c r="AH25" s="24">
        <f t="shared" si="12"/>
        <v>-1.1407032031838531E-3</v>
      </c>
      <c r="AI25" s="24">
        <f t="shared" si="0"/>
        <v>-6.5357479219488798E-2</v>
      </c>
      <c r="AJ25" s="24">
        <f t="shared" si="13"/>
        <v>16.985984221044713</v>
      </c>
      <c r="AK25" s="24"/>
      <c r="AL25" s="24" t="str">
        <f t="shared" si="14"/>
        <v>0.994755474531229-0.072228944484728i</v>
      </c>
      <c r="AM25" s="24" t="str">
        <f t="shared" si="15"/>
        <v>1.00000000477052+0.000579638846062722i</v>
      </c>
      <c r="AN25" s="24" t="str">
        <f t="shared" si="16"/>
        <v>-334.421235456691+24.0873843710644i</v>
      </c>
      <c r="AO25" s="24">
        <f t="shared" si="6"/>
        <v>335.28758523127425</v>
      </c>
      <c r="AP25" s="24">
        <f t="shared" si="7"/>
        <v>3.0696897458532124</v>
      </c>
      <c r="AQ25" s="24">
        <f t="shared" si="8"/>
        <v>175.88026685197536</v>
      </c>
      <c r="AR25" s="24">
        <f t="shared" si="9"/>
        <v>50.508349460143968</v>
      </c>
      <c r="AS25" s="24">
        <f t="shared" si="17"/>
        <v>67.494333681188678</v>
      </c>
      <c r="AT25" s="24">
        <f t="shared" si="18"/>
        <v>175.81490937275586</v>
      </c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</row>
    <row r="26" spans="1:71" s="1" customFormat="1" ht="39" customHeight="1">
      <c r="A26" s="52" t="s">
        <v>112</v>
      </c>
      <c r="B26" s="52"/>
      <c r="C26" s="52"/>
      <c r="D26" s="52"/>
      <c r="E26" s="5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4"/>
      <c r="T26" s="24"/>
      <c r="U26" s="24"/>
      <c r="V26" s="24"/>
      <c r="W26" s="24"/>
      <c r="X26" s="24"/>
      <c r="Y26" s="24">
        <v>24</v>
      </c>
      <c r="Z26" s="24">
        <f t="shared" si="1"/>
        <v>4.376135106361553</v>
      </c>
      <c r="AA26" s="24" t="str">
        <f t="shared" si="10"/>
        <v>27.4960678025237i</v>
      </c>
      <c r="AB26" s="24">
        <f t="shared" si="2"/>
        <v>8.870967741935484</v>
      </c>
      <c r="AC26" s="24"/>
      <c r="AD26" s="24" t="str">
        <f t="shared" si="3"/>
        <v>0.999998552784434-0.00120107867339182i</v>
      </c>
      <c r="AE26" s="24" t="str">
        <f t="shared" si="4"/>
        <v>0.999999999875461-0.0000119870594689423i</v>
      </c>
      <c r="AF26" s="24" t="str">
        <f t="shared" si="19"/>
        <v>7.06803766269432-0.00857400669645836i</v>
      </c>
      <c r="AG26" s="24">
        <f t="shared" si="5"/>
        <v>7.0680428631167915</v>
      </c>
      <c r="AH26" s="24">
        <f t="shared" si="12"/>
        <v>-1.2130668935272553E-3</v>
      </c>
      <c r="AI26" s="24">
        <f t="shared" si="0"/>
        <v>-6.9503613266157324E-2</v>
      </c>
      <c r="AJ26" s="24">
        <f t="shared" si="13"/>
        <v>16.985983491167236</v>
      </c>
      <c r="AK26" s="24"/>
      <c r="AL26" s="24" t="str">
        <f t="shared" si="14"/>
        <v>0.994073034750005-0.076758298137209i</v>
      </c>
      <c r="AM26" s="24" t="str">
        <f t="shared" si="15"/>
        <v>1.00000000539499+0.00061640988779171i</v>
      </c>
      <c r="AN26" s="24" t="str">
        <f t="shared" si="16"/>
        <v>-334.193651150085+25.5978630901169i</v>
      </c>
      <c r="AO26" s="24">
        <f t="shared" si="6"/>
        <v>335.17256311310007</v>
      </c>
      <c r="AP26" s="24">
        <f t="shared" si="7"/>
        <v>3.0651460239714221</v>
      </c>
      <c r="AQ26" s="24">
        <f t="shared" si="8"/>
        <v>175.61993076486755</v>
      </c>
      <c r="AR26" s="24">
        <f t="shared" si="9"/>
        <v>50.505369210127128</v>
      </c>
      <c r="AS26" s="24">
        <f t="shared" si="17"/>
        <v>67.49135270129436</v>
      </c>
      <c r="AT26" s="24">
        <f t="shared" si="18"/>
        <v>175.55042715160138</v>
      </c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</row>
    <row r="27" spans="1:71" s="1" customFormat="1">
      <c r="A27" s="9" t="s">
        <v>18</v>
      </c>
      <c r="B27" s="12"/>
      <c r="C27" s="12"/>
      <c r="D27" s="1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4"/>
      <c r="T27" s="24"/>
      <c r="U27" s="24"/>
      <c r="V27" s="24"/>
      <c r="W27" s="24"/>
      <c r="X27" s="24"/>
      <c r="Y27" s="24">
        <v>25</v>
      </c>
      <c r="Z27" s="24">
        <f t="shared" si="1"/>
        <v>4.6537477055250784</v>
      </c>
      <c r="AA27" s="24" t="str">
        <f t="shared" si="10"/>
        <v>29.2403592066759i</v>
      </c>
      <c r="AB27" s="24">
        <f t="shared" si="2"/>
        <v>8.870967741935484</v>
      </c>
      <c r="AC27" s="24"/>
      <c r="AD27" s="24" t="str">
        <f t="shared" si="3"/>
        <v>0.999998363344142-0.00127727227846596i</v>
      </c>
      <c r="AE27" s="24" t="str">
        <f t="shared" si="4"/>
        <v>0.999999999859158-0.0000127474927402766i</v>
      </c>
      <c r="AF27" s="24" t="str">
        <f t="shared" si="19"/>
        <v>7.06803631028545-0.00911792150778005i</v>
      </c>
      <c r="AG27" s="24">
        <f t="shared" si="5"/>
        <v>7.068042191442137</v>
      </c>
      <c r="AH27" s="24">
        <f t="shared" si="12"/>
        <v>-1.2900211670721046E-3</v>
      </c>
      <c r="AI27" s="24">
        <f t="shared" si="0"/>
        <v>-7.3912768355772443E-2</v>
      </c>
      <c r="AJ27" s="24">
        <f t="shared" si="13"/>
        <v>16.985982665748899</v>
      </c>
      <c r="AK27" s="24"/>
      <c r="AL27" s="24" t="str">
        <f t="shared" si="14"/>
        <v>0.993302390921545-0.0815643985516168i</v>
      </c>
      <c r="AM27" s="24" t="str">
        <f t="shared" si="15"/>
        <v>1.00000000610119+0.00065551360532146i</v>
      </c>
      <c r="AN27" s="24" t="str">
        <f t="shared" si="16"/>
        <v>-333.936652003539+27.2006331472636i</v>
      </c>
      <c r="AO27" s="24">
        <f t="shared" si="6"/>
        <v>335.04262713115287</v>
      </c>
      <c r="AP27" s="24">
        <f t="shared" si="7"/>
        <v>3.0603176149382687</v>
      </c>
      <c r="AQ27" s="24">
        <f t="shared" si="8"/>
        <v>175.34328330550503</v>
      </c>
      <c r="AR27" s="24">
        <f t="shared" si="9"/>
        <v>50.502001307907719</v>
      </c>
      <c r="AS27" s="24">
        <f t="shared" si="17"/>
        <v>67.487983973656611</v>
      </c>
      <c r="AT27" s="24">
        <f t="shared" si="18"/>
        <v>175.26937053714926</v>
      </c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</row>
    <row r="28" spans="1:71" s="1" customFormat="1">
      <c r="A28" s="10" t="s">
        <v>87</v>
      </c>
      <c r="B28" s="4">
        <v>0.3</v>
      </c>
      <c r="C28" s="21" t="s">
        <v>101</v>
      </c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36"/>
      <c r="T28" s="24"/>
      <c r="U28" s="24"/>
      <c r="V28" s="24"/>
      <c r="W28" s="24"/>
      <c r="X28" s="24"/>
      <c r="Y28" s="24">
        <v>26</v>
      </c>
      <c r="Z28" s="24">
        <f t="shared" si="1"/>
        <v>4.9489714509035139</v>
      </c>
      <c r="AA28" s="24" t="str">
        <f t="shared" si="10"/>
        <v>31.0953047059682i</v>
      </c>
      <c r="AB28" s="24">
        <f t="shared" si="2"/>
        <v>8.870967741935484</v>
      </c>
      <c r="AC28" s="24"/>
      <c r="AD28" s="24" t="str">
        <f t="shared" si="3"/>
        <v>0.999998149106191-0.00135829939278266i</v>
      </c>
      <c r="AE28" s="24" t="str">
        <f t="shared" si="4"/>
        <v>0.999999999840722-0.0000135561662628048i</v>
      </c>
      <c r="AF28" s="24" t="str">
        <f t="shared" si="19"/>
        <v>7.0680347808468-0.00969634075374142i</v>
      </c>
      <c r="AG28" s="24">
        <f t="shared" si="5"/>
        <v>7.0680414318454652</v>
      </c>
      <c r="AH28" s="24">
        <f t="shared" si="12"/>
        <v>-1.371857237771848E-3</v>
      </c>
      <c r="AI28" s="24">
        <f t="shared" si="0"/>
        <v>-7.8601629818801949E-2</v>
      </c>
      <c r="AJ28" s="24">
        <f t="shared" si="13"/>
        <v>16.985981732283442</v>
      </c>
      <c r="AK28" s="24"/>
      <c r="AL28" s="24" t="str">
        <f t="shared" si="14"/>
        <v>0.992432308223844-0.0866626898805761i</v>
      </c>
      <c r="AM28" s="24" t="str">
        <f t="shared" si="15"/>
        <v>1.00000000689984+0.000697097978587544i</v>
      </c>
      <c r="AN28" s="24" t="str">
        <f t="shared" si="16"/>
        <v>-333.646491358021+28.9008449612101i</v>
      </c>
      <c r="AO28" s="24">
        <f t="shared" si="6"/>
        <v>334.89586446385073</v>
      </c>
      <c r="AP28" s="24">
        <f t="shared" si="7"/>
        <v>3.0551871729099784</v>
      </c>
      <c r="AQ28" s="24">
        <f t="shared" si="8"/>
        <v>175.04933063024743</v>
      </c>
      <c r="AR28" s="24">
        <f t="shared" si="9"/>
        <v>50.498195691817422</v>
      </c>
      <c r="AS28" s="24">
        <f t="shared" si="17"/>
        <v>67.484177424100864</v>
      </c>
      <c r="AT28" s="24">
        <f t="shared" si="18"/>
        <v>174.97072900042863</v>
      </c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</row>
    <row r="29" spans="1:71" s="1" customFormat="1">
      <c r="A29" s="8" t="s">
        <v>89</v>
      </c>
      <c r="B29" s="14">
        <f>B12/100*B5</f>
        <v>3.3000000000000002E-2</v>
      </c>
      <c r="C29" s="19" t="s">
        <v>100</v>
      </c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4" t="s">
        <v>80</v>
      </c>
      <c r="T29" s="36">
        <f>D24</f>
        <v>4.7</v>
      </c>
      <c r="U29" s="24"/>
      <c r="V29" s="24"/>
      <c r="W29" s="24"/>
      <c r="X29" s="24"/>
      <c r="Y29" s="24">
        <v>27</v>
      </c>
      <c r="Z29" s="24">
        <f t="shared" si="1"/>
        <v>5.2629235557355134</v>
      </c>
      <c r="AA29" s="24" t="str">
        <f t="shared" si="10"/>
        <v>33.0679239582067i</v>
      </c>
      <c r="AB29" s="24">
        <f t="shared" si="2"/>
        <v>8.870967741935484</v>
      </c>
      <c r="AC29" s="24"/>
      <c r="AD29" s="24" t="str">
        <f t="shared" si="3"/>
        <v>0.999997906824591-0.00144446663380475i</v>
      </c>
      <c r="AE29" s="24" t="str">
        <f t="shared" si="4"/>
        <v>0.999999999819873-0.0000144161402943027i</v>
      </c>
      <c r="AF29" s="24" t="str">
        <f t="shared" si="19"/>
        <v>7.06803305120534-0.0103114532503054i</v>
      </c>
      <c r="AG29" s="24">
        <f t="shared" si="5"/>
        <v>7.0680405728178437</v>
      </c>
      <c r="AH29" s="24">
        <f t="shared" si="12"/>
        <v>-1.4588847930051968E-3</v>
      </c>
      <c r="AI29" s="24">
        <f t="shared" si="0"/>
        <v>-8.3587941435014496E-2</v>
      </c>
      <c r="AJ29" s="24">
        <f t="shared" si="13"/>
        <v>16.985980676627552</v>
      </c>
      <c r="AK29" s="24"/>
      <c r="AL29" s="24" t="str">
        <f t="shared" si="14"/>
        <v>0.991450166483956-0.0920691797665869i</v>
      </c>
      <c r="AM29" s="24" t="str">
        <f t="shared" si="15"/>
        <v>1.00000000780303+0.000741320375054326i</v>
      </c>
      <c r="AN29" s="24" t="str">
        <f t="shared" si="16"/>
        <v>-333.318960558947+30.7038368671636i</v>
      </c>
      <c r="AO29" s="24">
        <f t="shared" si="6"/>
        <v>334.73012273540951</v>
      </c>
      <c r="AP29" s="24">
        <f t="shared" si="7"/>
        <v>3.0497363939907771</v>
      </c>
      <c r="AQ29" s="24">
        <f t="shared" si="8"/>
        <v>174.73702400311834</v>
      </c>
      <c r="AR29" s="24">
        <f t="shared" si="9"/>
        <v>50.493895935181371</v>
      </c>
      <c r="AS29" s="24">
        <f t="shared" si="17"/>
        <v>67.479876611808919</v>
      </c>
      <c r="AT29" s="24">
        <f t="shared" si="18"/>
        <v>174.65343606168332</v>
      </c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</row>
    <row r="30" spans="1:71" s="1" customFormat="1">
      <c r="A30" s="8" t="s">
        <v>96</v>
      </c>
      <c r="B30" s="17">
        <f>(D24*B28^2)/(B5*B29*2)/1000000*1000000</f>
        <v>1.9421487603305787</v>
      </c>
      <c r="C30" s="19" t="s">
        <v>108</v>
      </c>
      <c r="D30" s="6">
        <v>20</v>
      </c>
      <c r="E30" s="13" t="s">
        <v>108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" t="s">
        <v>81</v>
      </c>
      <c r="T30" s="24">
        <f>B5</f>
        <v>3.3</v>
      </c>
      <c r="U30" s="24"/>
      <c r="V30" s="24"/>
      <c r="W30" s="24"/>
      <c r="X30" s="24"/>
      <c r="Y30" s="24">
        <v>28</v>
      </c>
      <c r="Z30" s="24">
        <f t="shared" si="1"/>
        <v>5.5967921068647417</v>
      </c>
      <c r="AA30" s="24" t="str">
        <f t="shared" si="10"/>
        <v>35.1656819331912i</v>
      </c>
      <c r="AB30" s="24">
        <f t="shared" si="2"/>
        <v>8.870967741935484</v>
      </c>
      <c r="AC30" s="24"/>
      <c r="AD30" s="24" t="str">
        <f t="shared" si="3"/>
        <v>0.999997632828456-0.00153610006812751i</v>
      </c>
      <c r="AE30" s="24" t="str">
        <f t="shared" si="4"/>
        <v>0.999999999796295-0.0000153306692287158i</v>
      </c>
      <c r="AF30" s="24" t="str">
        <f t="shared" si="19"/>
        <v>7.06803109515471-0.0109655866527917i</v>
      </c>
      <c r="AG30" s="24">
        <f t="shared" si="5"/>
        <v>7.0680396013438225</v>
      </c>
      <c r="AH30" s="24">
        <f t="shared" si="12"/>
        <v>-1.5514331653766018E-3</v>
      </c>
      <c r="AI30" s="24">
        <f t="shared" si="0"/>
        <v>-8.8890572572701165E-2</v>
      </c>
      <c r="AJ30" s="24">
        <f t="shared" si="13"/>
        <v>16.98597948278654</v>
      </c>
      <c r="AK30" s="24"/>
      <c r="AL30" s="24" t="str">
        <f t="shared" si="14"/>
        <v>0.990341801971807-0.0978003948818277i</v>
      </c>
      <c r="AM30" s="24" t="str">
        <f t="shared" si="15"/>
        <v>1.00000000882444+0.000788348145239598i</v>
      </c>
      <c r="AN30" s="24" t="str">
        <f t="shared" si="16"/>
        <v>-332.94933619661+32.6151202899905i</v>
      </c>
      <c r="AO30" s="24">
        <f t="shared" si="6"/>
        <v>334.54298161117316</v>
      </c>
      <c r="AP30" s="24">
        <f t="shared" si="7"/>
        <v>3.0439459834552549</v>
      </c>
      <c r="AQ30" s="24">
        <f t="shared" si="8"/>
        <v>174.40525791778484</v>
      </c>
      <c r="AR30" s="24">
        <f t="shared" si="9"/>
        <v>50.489038464640082</v>
      </c>
      <c r="AS30" s="24">
        <f t="shared" si="17"/>
        <v>67.475017947426622</v>
      </c>
      <c r="AT30" s="24">
        <f t="shared" si="18"/>
        <v>174.31636734521214</v>
      </c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</row>
    <row r="31" spans="1:71" s="1" customFormat="1">
      <c r="A31" s="8" t="s">
        <v>19</v>
      </c>
      <c r="B31" s="4">
        <v>7.0000000000000001E-3</v>
      </c>
      <c r="C31" s="37" t="s">
        <v>56</v>
      </c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4"/>
      <c r="T31" s="24"/>
      <c r="U31" s="24"/>
      <c r="V31" s="24"/>
      <c r="W31" s="24"/>
      <c r="X31" s="24"/>
      <c r="Y31" s="24">
        <v>29</v>
      </c>
      <c r="Z31" s="24">
        <f t="shared" si="1"/>
        <v>5.9518405608089449</v>
      </c>
      <c r="AA31" s="24" t="str">
        <f t="shared" si="10"/>
        <v>37.3965171623503i</v>
      </c>
      <c r="AB31" s="24">
        <f t="shared" si="2"/>
        <v>8.870967741935484</v>
      </c>
      <c r="AC31" s="24"/>
      <c r="AD31" s="24" t="str">
        <f t="shared" si="3"/>
        <v>0.999997322966393-0.00163354644488055i</v>
      </c>
      <c r="AE31" s="24" t="str">
        <f t="shared" si="4"/>
        <v>0.999999999769629-0.0000163032139117406i</v>
      </c>
      <c r="AF31" s="24" t="str">
        <f t="shared" si="19"/>
        <v>7.06802888305823-0.0116612162606254i</v>
      </c>
      <c r="AG31" s="24">
        <f t="shared" si="5"/>
        <v>7.0680385027042725</v>
      </c>
      <c r="AH31" s="24">
        <f t="shared" si="12"/>
        <v>-1.6498525788302991E-3</v>
      </c>
      <c r="AI31" s="24">
        <f t="shared" si="0"/>
        <v>-9.4529589585751084E-2</v>
      </c>
      <c r="AJ31" s="24">
        <f t="shared" si="13"/>
        <v>16.985978132672056</v>
      </c>
      <c r="AK31" s="24"/>
      <c r="AL31" s="24" t="str">
        <f t="shared" si="14"/>
        <v>0.989091334653039-0.103873318842278i</v>
      </c>
      <c r="AM31" s="24" t="str">
        <f t="shared" si="15"/>
        <v>1.00000000997956+0.00083835925601801i</v>
      </c>
      <c r="AN31" s="24" t="str">
        <f t="shared" si="16"/>
        <v>-332.532322497367+34.6403590394524i</v>
      </c>
      <c r="AO31" s="24">
        <f t="shared" si="6"/>
        <v>334.33172146817753</v>
      </c>
      <c r="AP31" s="24">
        <f t="shared" si="7"/>
        <v>3.0377956262679691</v>
      </c>
      <c r="AQ31" s="24">
        <f t="shared" si="8"/>
        <v>174.0528684084554</v>
      </c>
      <c r="AR31" s="24">
        <f t="shared" si="9"/>
        <v>50.483551690093059</v>
      </c>
      <c r="AS31" s="24">
        <f t="shared" si="17"/>
        <v>67.469529822765111</v>
      </c>
      <c r="AT31" s="24">
        <f t="shared" si="18"/>
        <v>173.95833881886963</v>
      </c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</row>
    <row r="32" spans="1:71" s="1" customFormat="1">
      <c r="A32" s="8" t="s">
        <v>20</v>
      </c>
      <c r="B32" s="14">
        <f>(B5*(1-B17))/(B7*D24)/8/D30/B7</f>
        <v>8.0489876458476309E-4</v>
      </c>
      <c r="C32" s="19" t="s">
        <v>100</v>
      </c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4"/>
      <c r="T32" s="24"/>
      <c r="U32" s="24"/>
      <c r="V32" s="24"/>
      <c r="W32" s="24"/>
      <c r="X32" s="24"/>
      <c r="Y32" s="24">
        <v>30</v>
      </c>
      <c r="Z32" s="24">
        <f t="shared" si="1"/>
        <v>6.3294125250499764</v>
      </c>
      <c r="AA32" s="24" t="str">
        <f t="shared" si="10"/>
        <v>39.7688717804725i</v>
      </c>
      <c r="AB32" s="24">
        <f t="shared" si="2"/>
        <v>8.870967741935484</v>
      </c>
      <c r="AC32" s="24"/>
      <c r="AD32" s="24" t="str">
        <f t="shared" si="3"/>
        <v>0.9999969725436-0.00173717450729106i</v>
      </c>
      <c r="AE32" s="24" t="str">
        <f t="shared" si="4"/>
        <v>0.999999999739475-0.000017337454737679i</v>
      </c>
      <c r="AF32" s="24" t="str">
        <f t="shared" si="19"/>
        <v>7.06802638139987-0.0124009743800475i</v>
      </c>
      <c r="AG32" s="24">
        <f t="shared" si="5"/>
        <v>7.0680372602533801</v>
      </c>
      <c r="AH32" s="24">
        <f t="shared" si="12"/>
        <v>-1.7545154737873959E-3</v>
      </c>
      <c r="AI32" s="24">
        <f t="shared" si="0"/>
        <v>-0.10052633173841381</v>
      </c>
      <c r="AJ32" s="24">
        <f t="shared" si="13"/>
        <v>16.985976605828043</v>
      </c>
      <c r="AK32" s="24"/>
      <c r="AL32" s="24" t="str">
        <f t="shared" si="14"/>
        <v>0.987680980594622-0.110305308876172i</v>
      </c>
      <c r="AM32" s="24" t="str">
        <f t="shared" si="15"/>
        <v>1.00000001128589+0.000891542964099889i</v>
      </c>
      <c r="AN32" s="24" t="str">
        <f t="shared" si="16"/>
        <v>-332.061988763479+36.7853415203032i</v>
      </c>
      <c r="AO32" s="24">
        <f t="shared" si="6"/>
        <v>334.09328896630387</v>
      </c>
      <c r="AP32" s="24">
        <f t="shared" si="7"/>
        <v>3.0312639620953474</v>
      </c>
      <c r="AQ32" s="24">
        <f t="shared" si="8"/>
        <v>173.67863161816734</v>
      </c>
      <c r="AR32" s="24">
        <f t="shared" si="9"/>
        <v>50.477355038403161</v>
      </c>
      <c r="AS32" s="24">
        <f t="shared" si="17"/>
        <v>67.463331644231204</v>
      </c>
      <c r="AT32" s="24">
        <f t="shared" si="18"/>
        <v>173.57810528642892</v>
      </c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</row>
    <row r="33" spans="1:71" s="1" customFormat="1">
      <c r="A33" s="8" t="s">
        <v>21</v>
      </c>
      <c r="B33" s="14">
        <f>(B5*(1-B17))/(B7*D24)*B31</f>
        <v>1.8029732326698693E-3</v>
      </c>
      <c r="C33" s="19" t="s">
        <v>100</v>
      </c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4"/>
      <c r="T33" s="24"/>
      <c r="U33" s="24"/>
      <c r="V33" s="24"/>
      <c r="W33" s="24"/>
      <c r="X33" s="24"/>
      <c r="Y33" s="24">
        <v>31</v>
      </c>
      <c r="Z33" s="24">
        <f t="shared" si="1"/>
        <v>6.7309368426385694</v>
      </c>
      <c r="AA33" s="24" t="str">
        <f t="shared" si="10"/>
        <v>42.2917234732204i</v>
      </c>
      <c r="AB33" s="24">
        <f t="shared" si="2"/>
        <v>8.870967741935484</v>
      </c>
      <c r="AC33" s="24"/>
      <c r="AD33" s="24" t="str">
        <f t="shared" si="3"/>
        <v>0.999996576250739-0.00184737638735i</v>
      </c>
      <c r="AE33" s="24" t="str">
        <f t="shared" si="4"/>
        <v>0.999999999705372-0.0000184373055771291i</v>
      </c>
      <c r="AF33" s="24" t="str">
        <f t="shared" si="19"/>
        <v>7.06802355227638-0.0131876602800625i</v>
      </c>
      <c r="AG33" s="24">
        <f t="shared" si="5"/>
        <v>7.0680358551663618</v>
      </c>
      <c r="AH33" s="24">
        <f t="shared" si="12"/>
        <v>-1.8658179163133061E-3</v>
      </c>
      <c r="AI33" s="24">
        <f t="shared" si="0"/>
        <v>-0.10690349194464586</v>
      </c>
      <c r="AJ33" s="24">
        <f t="shared" si="13"/>
        <v>16.985974879120679</v>
      </c>
      <c r="AK33" s="24"/>
      <c r="AL33" s="24" t="str">
        <f t="shared" si="14"/>
        <v>0.986090849569784-0.11711398705759i</v>
      </c>
      <c r="AM33" s="24" t="str">
        <f t="shared" si="15"/>
        <v>1.00000001276321+0.00094810053223413i</v>
      </c>
      <c r="AN33" s="24" t="str">
        <f t="shared" si="16"/>
        <v>-331.53170187713+39.0559444602108i</v>
      </c>
      <c r="AO33" s="24">
        <f t="shared" si="6"/>
        <v>333.82425937493707</v>
      </c>
      <c r="AP33" s="24">
        <f t="shared" si="7"/>
        <v>3.0243285662449702</v>
      </c>
      <c r="AQ33" s="24">
        <f t="shared" si="8"/>
        <v>173.28126270668818</v>
      </c>
      <c r="AR33" s="24">
        <f t="shared" si="9"/>
        <v>50.470357882924432</v>
      </c>
      <c r="AS33" s="24">
        <f t="shared" si="17"/>
        <v>67.456332762045108</v>
      </c>
      <c r="AT33" s="24">
        <f t="shared" si="18"/>
        <v>173.17435921474353</v>
      </c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</row>
    <row r="34" spans="1:71" s="1" customFormat="1" ht="18.75" customHeight="1">
      <c r="A34" s="8"/>
      <c r="B34" s="12"/>
      <c r="C34" s="19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24"/>
      <c r="S34" s="24"/>
      <c r="T34" s="24"/>
      <c r="U34" s="24"/>
      <c r="V34" s="24"/>
      <c r="W34" s="24"/>
      <c r="X34" s="24"/>
      <c r="Y34" s="24">
        <v>32</v>
      </c>
      <c r="Z34" s="24">
        <f t="shared" si="1"/>
        <v>7.1579329993555039</v>
      </c>
      <c r="AA34" s="24" t="str">
        <f t="shared" si="10"/>
        <v>44.9746194513264i</v>
      </c>
      <c r="AB34" s="24">
        <f t="shared" si="2"/>
        <v>8.870967741935484</v>
      </c>
      <c r="AC34" s="24"/>
      <c r="AD34" s="24" t="str">
        <f t="shared" si="3"/>
        <v>0.999996128083499-0.00196456908883309i</v>
      </c>
      <c r="AE34" s="24" t="str">
        <f t="shared" si="4"/>
        <v>0.999999999666804-0.0000196069285882189i</v>
      </c>
      <c r="AF34" s="24" t="str">
        <f t="shared" si="19"/>
        <v>7.06802035282317-0.0140242507791155i</v>
      </c>
      <c r="AG34" s="24">
        <f t="shared" si="5"/>
        <v>7.0680342661543802</v>
      </c>
      <c r="AH34" s="24">
        <f t="shared" si="12"/>
        <v>-1.9841810966398591E-3</v>
      </c>
      <c r="AI34" s="24">
        <f t="shared" si="0"/>
        <v>-0.11368520262710326</v>
      </c>
      <c r="AJ34" s="24">
        <f t="shared" si="13"/>
        <v>16.985972926388047</v>
      </c>
      <c r="AK34" s="24"/>
      <c r="AL34" s="24" t="str">
        <f t="shared" si="14"/>
        <v>0.984298728395358-0.124317101295999i</v>
      </c>
      <c r="AM34" s="24" t="str">
        <f t="shared" si="15"/>
        <v>1.00000001443391+0.00100824599084545i</v>
      </c>
      <c r="AN34" s="24" t="str">
        <f t="shared" si="16"/>
        <v>-330.934054046414+41.4580865517059i</v>
      </c>
      <c r="AO34" s="24">
        <f t="shared" si="6"/>
        <v>333.52079555572487</v>
      </c>
      <c r="AP34" s="24">
        <f t="shared" si="7"/>
        <v>3.0169659382439593</v>
      </c>
      <c r="AQ34" s="24">
        <f t="shared" si="8"/>
        <v>172.85941519610543</v>
      </c>
      <c r="AR34" s="24">
        <f t="shared" si="9"/>
        <v>50.462458361065302</v>
      </c>
      <c r="AS34" s="24">
        <f t="shared" si="17"/>
        <v>67.448431287453346</v>
      </c>
      <c r="AT34" s="24">
        <f t="shared" si="18"/>
        <v>172.74572999347834</v>
      </c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</row>
    <row r="35" spans="1:71" s="1" customFormat="1">
      <c r="A35" s="11" t="s">
        <v>22</v>
      </c>
      <c r="B35" s="12"/>
      <c r="C35" s="12"/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24"/>
      <c r="S35" s="24"/>
      <c r="T35" s="24"/>
      <c r="U35" s="24"/>
      <c r="V35" s="24"/>
      <c r="W35" s="24"/>
      <c r="X35" s="24"/>
      <c r="Y35" s="24">
        <v>33</v>
      </c>
      <c r="Z35" s="24">
        <f t="shared" si="1"/>
        <v>7.6120168738914558</v>
      </c>
      <c r="AA35" s="24" t="str">
        <f t="shared" si="10"/>
        <v>47.8277125800379i</v>
      </c>
      <c r="AB35" s="24">
        <f t="shared" si="2"/>
        <v>8.870967741935484</v>
      </c>
      <c r="AC35" s="24"/>
      <c r="AD35" s="24" t="str">
        <f t="shared" si="3"/>
        <v>0.999995621251626-0.00208919606425706i</v>
      </c>
      <c r="AE35" s="24" t="str">
        <f t="shared" si="4"/>
        <v>0.999999999623189-0.0000208507499674329i</v>
      </c>
      <c r="AF35" s="24" t="str">
        <f t="shared" si="19"/>
        <v>7.06801673456481-0.0149139115023333i</v>
      </c>
      <c r="AG35" s="24">
        <f t="shared" si="5"/>
        <v>7.068032469141925</v>
      </c>
      <c r="AH35" s="24">
        <f t="shared" si="12"/>
        <v>-2.1100529227019342E-3</v>
      </c>
      <c r="AI35" s="24">
        <f t="shared" si="0"/>
        <v>-0.12089712702006497</v>
      </c>
      <c r="AJ35" s="24">
        <f t="shared" si="13"/>
        <v>16.985970718043653</v>
      </c>
      <c r="AK35" s="24"/>
      <c r="AL35" s="24" t="str">
        <f t="shared" si="14"/>
        <v>0.982279851188083-0.131932350611973i</v>
      </c>
      <c r="AM35" s="24" t="str">
        <f t="shared" si="15"/>
        <v>1.00000001632331+0.0010722069479882i</v>
      </c>
      <c r="AN35" s="24" t="str">
        <f t="shared" si="16"/>
        <v>-330.260786188959+43.9976701840613i</v>
      </c>
      <c r="AO35" s="24">
        <f t="shared" si="6"/>
        <v>333.17860356837855</v>
      </c>
      <c r="AP35" s="24">
        <f t="shared" si="7"/>
        <v>3.0091515000843256</v>
      </c>
      <c r="AQ35" s="24">
        <f t="shared" si="8"/>
        <v>172.41168087029246</v>
      </c>
      <c r="AR35" s="24">
        <f t="shared" si="9"/>
        <v>50.453542072548991</v>
      </c>
      <c r="AS35" s="24">
        <f t="shared" si="17"/>
        <v>67.439512790592644</v>
      </c>
      <c r="AT35" s="24">
        <f t="shared" si="18"/>
        <v>172.29078374327239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</row>
    <row r="36" spans="1:71" s="1" customFormat="1">
      <c r="A36" s="8" t="s">
        <v>90</v>
      </c>
      <c r="B36" s="13" t="s">
        <v>82</v>
      </c>
      <c r="C36" s="37" t="s">
        <v>56</v>
      </c>
      <c r="D36" s="6">
        <v>31.6</v>
      </c>
      <c r="E36" s="37" t="s">
        <v>56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24"/>
      <c r="S36" s="24"/>
      <c r="T36" s="24"/>
      <c r="U36" s="24"/>
      <c r="V36" s="24"/>
      <c r="W36" s="24"/>
      <c r="X36" s="24"/>
      <c r="Y36" s="24">
        <v>34</v>
      </c>
      <c r="Z36" s="24">
        <f t="shared" si="1"/>
        <v>8.0949068528058863</v>
      </c>
      <c r="AA36" s="24" t="str">
        <f t="shared" si="10"/>
        <v>50.8617998005373i</v>
      </c>
      <c r="AB36" s="24">
        <f t="shared" si="2"/>
        <v>8.870967741935484</v>
      </c>
      <c r="AC36" s="24"/>
      <c r="AD36" s="24" t="str">
        <f t="shared" si="3"/>
        <v>0.999995048076052-0.00222172889170117i</v>
      </c>
      <c r="AE36" s="24" t="str">
        <f t="shared" si="4"/>
        <v>0.999999999573864-0.0000221734766996361i</v>
      </c>
      <c r="AF36" s="24" t="str">
        <f t="shared" si="19"/>
        <v>7.06801264268065-0.0158600088516637i</v>
      </c>
      <c r="AG36" s="24">
        <f t="shared" si="5"/>
        <v>7.0680304369020854</v>
      </c>
      <c r="AH36" s="24">
        <f t="shared" ref="AH36:AH67" si="20">IMARGUMENT(AF36)</f>
        <v>-2.243909714706816E-3</v>
      </c>
      <c r="AI36" s="24">
        <f t="shared" si="0"/>
        <v>-0.12856655626110519</v>
      </c>
      <c r="AJ36" s="24">
        <f t="shared" ref="AJ36:AJ67" si="21">20*LOG(AG36,10)</f>
        <v>16.985968220628202</v>
      </c>
      <c r="AK36" s="24"/>
      <c r="AL36" s="24" t="str">
        <f t="shared" ref="AL36:AL67" si="22">IMDIV(1,IMSUM(1,IMDIV(AA36,wp2e)))</f>
        <v>0.98000665858489-0.139977168546049i</v>
      </c>
      <c r="AM36" s="24" t="str">
        <f t="shared" ref="AM36:AM67" si="23">IMDIV(IMSUM(1,IMDIV(AA36,wz2e)),IMSUM(1,IMDIV(AA36,wp1e)))</f>
        <v>1.00000001846004+0.00114022545068208i</v>
      </c>
      <c r="AN36" s="24" t="str">
        <f t="shared" ref="AN36:AN67" si="24">IMPRODUCT($AK$2,AL36,AM36)</f>
        <v>-329.502707635189+46.6805092131492i</v>
      </c>
      <c r="AO36" s="24">
        <f t="shared" si="6"/>
        <v>332.79288495897828</v>
      </c>
      <c r="AP36" s="24">
        <f t="shared" si="7"/>
        <v>3.0008596065206929</v>
      </c>
      <c r="AQ36" s="24">
        <f t="shared" si="8"/>
        <v>171.9365903649246</v>
      </c>
      <c r="AR36" s="24">
        <f t="shared" si="9"/>
        <v>50.443480651887782</v>
      </c>
      <c r="AS36" s="24">
        <f t="shared" ref="AS36:AS67" si="25">AR36+AJ36</f>
        <v>67.429448872515991</v>
      </c>
      <c r="AT36" s="24">
        <f t="shared" ref="AT36:AT67" si="26">AQ36+AI36</f>
        <v>171.80802380866351</v>
      </c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</row>
    <row r="37" spans="1:71" s="1" customFormat="1">
      <c r="A37" s="8" t="s">
        <v>91</v>
      </c>
      <c r="B37" s="42">
        <f>D36*(B5/0.8-1)</f>
        <v>98.749999999999972</v>
      </c>
      <c r="C37" s="37" t="s">
        <v>56</v>
      </c>
      <c r="D37" s="6">
        <v>100</v>
      </c>
      <c r="E37" s="37" t="s">
        <v>56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4"/>
      <c r="S37" s="24"/>
      <c r="T37" s="24"/>
      <c r="U37" s="24"/>
      <c r="V37" s="24"/>
      <c r="W37" s="24"/>
      <c r="X37" s="24"/>
      <c r="Y37" s="24">
        <v>35</v>
      </c>
      <c r="Z37" s="24">
        <f t="shared" si="1"/>
        <v>8.6084303334057619</v>
      </c>
      <c r="AA37" s="24" t="str">
        <f t="shared" si="10"/>
        <v>54.0883629887341i</v>
      </c>
      <c r="AB37" s="24">
        <f t="shared" si="2"/>
        <v>8.870967741935484</v>
      </c>
      <c r="AC37" s="24"/>
      <c r="AD37" s="24" t="str">
        <f t="shared" si="3"/>
        <v>0.999994399872556-0.00236266905779407i</v>
      </c>
      <c r="AE37" s="24" t="str">
        <f t="shared" si="4"/>
        <v>0.999999999518083-0.0000235801143706849i</v>
      </c>
      <c r="AF37" s="24" t="str">
        <f t="shared" si="19"/>
        <v>7.0680080151743-0.0168661227338841i</v>
      </c>
      <c r="AG37" s="24">
        <f t="shared" si="5"/>
        <v>7.0680281386440607</v>
      </c>
      <c r="AH37" s="24">
        <f t="shared" si="20"/>
        <v>-2.3862580071334735E-3</v>
      </c>
      <c r="AI37" s="24">
        <f t="shared" si="0"/>
        <v>-0.13672251263804672</v>
      </c>
      <c r="AJ37" s="24">
        <f t="shared" si="21"/>
        <v>16.985965396302671</v>
      </c>
      <c r="AK37" s="24"/>
      <c r="AL37" s="24" t="str">
        <f t="shared" si="22"/>
        <v>0.977448549078975-0.148468457870289i</v>
      </c>
      <c r="AM37" s="24" t="str">
        <f t="shared" si="23"/>
        <v>1.00000002087646+0.00121255890088887i</v>
      </c>
      <c r="AN37" s="24" t="str">
        <f t="shared" si="24"/>
        <v>-328.649613202314+49.5122404914197i</v>
      </c>
      <c r="AO37" s="24">
        <f t="shared" si="6"/>
        <v>332.35828591523153</v>
      </c>
      <c r="AP37" s="24">
        <f t="shared" si="7"/>
        <v>2.9920635702054228</v>
      </c>
      <c r="AQ37" s="24">
        <f t="shared" si="8"/>
        <v>171.43261460761582</v>
      </c>
      <c r="AR37" s="24">
        <f t="shared" si="9"/>
        <v>50.432130209963404</v>
      </c>
      <c r="AS37" s="24">
        <f t="shared" si="25"/>
        <v>67.418095606266078</v>
      </c>
      <c r="AT37" s="24">
        <f t="shared" si="26"/>
        <v>171.29589209497777</v>
      </c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</row>
    <row r="38" spans="1:71" s="1" customFormat="1">
      <c r="A38" s="8" t="s">
        <v>23</v>
      </c>
      <c r="B38" s="15">
        <f>D37*0.8/D36+0.8</f>
        <v>3.3316455696202532</v>
      </c>
      <c r="C38" s="19" t="s">
        <v>100</v>
      </c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4"/>
      <c r="S38" s="24"/>
      <c r="T38" s="24"/>
      <c r="U38" s="24"/>
      <c r="V38" s="24"/>
      <c r="W38" s="24"/>
      <c r="X38" s="24"/>
      <c r="Y38" s="24">
        <v>36</v>
      </c>
      <c r="Z38" s="24">
        <f t="shared" si="1"/>
        <v>9.1545306391529166</v>
      </c>
      <c r="AA38" s="24" t="str">
        <f t="shared" si="10"/>
        <v>57.519612406051i</v>
      </c>
      <c r="AB38" s="24">
        <f t="shared" si="2"/>
        <v>8.870967741935484</v>
      </c>
      <c r="AC38" s="24"/>
      <c r="AD38" s="24" t="str">
        <f t="shared" si="3"/>
        <v>0.999993666820199-0.00251254985355847i</v>
      </c>
      <c r="AE38" s="24" t="str">
        <f t="shared" si="4"/>
        <v>0.999999999455-0.0000250759861100297i</v>
      </c>
      <c r="AF38" s="24" t="str">
        <f t="shared" si="19"/>
        <v>7.06800278193432-0.0179360600942563i</v>
      </c>
      <c r="AG38" s="24">
        <f t="shared" si="5"/>
        <v>7.068025539546599</v>
      </c>
      <c r="AH38" s="24">
        <f t="shared" si="20"/>
        <v>-2.5376364649629239E-3</v>
      </c>
      <c r="AI38" s="24">
        <f t="shared" si="0"/>
        <v>-0.14539585938087335</v>
      </c>
      <c r="AJ38" s="24">
        <f t="shared" si="21"/>
        <v>16.985962202274944</v>
      </c>
      <c r="AK38" s="24"/>
      <c r="AL38" s="24" t="str">
        <f t="shared" si="22"/>
        <v>0.974571627025755-0.15742226914299i</v>
      </c>
      <c r="AM38" s="24" t="str">
        <f t="shared" si="23"/>
        <v>1.00000002360919+0.00128948102959699i</v>
      </c>
      <c r="AN38" s="24" t="str">
        <f t="shared" si="24"/>
        <v>-327.690199157785+52.4982166703445i</v>
      </c>
      <c r="AO38" s="24">
        <f t="shared" si="6"/>
        <v>331.86884363801806</v>
      </c>
      <c r="AP38" s="24">
        <f t="shared" si="7"/>
        <v>2.9827357048862084</v>
      </c>
      <c r="AQ38" s="24">
        <f t="shared" si="8"/>
        <v>170.89816729295839</v>
      </c>
      <c r="AR38" s="24">
        <f t="shared" si="9"/>
        <v>50.419329641650691</v>
      </c>
      <c r="AS38" s="24">
        <f t="shared" si="25"/>
        <v>67.405291843925639</v>
      </c>
      <c r="AT38" s="24">
        <f t="shared" si="26"/>
        <v>170.75277143357752</v>
      </c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</row>
    <row r="39" spans="1:71" s="1" customFormat="1">
      <c r="A39" s="8"/>
      <c r="B39" s="12"/>
      <c r="C39" s="19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4"/>
      <c r="S39" s="24"/>
      <c r="T39" s="24"/>
      <c r="U39" s="24"/>
      <c r="V39" s="24"/>
      <c r="W39" s="24"/>
      <c r="X39" s="24"/>
      <c r="Y39" s="24">
        <v>37</v>
      </c>
      <c r="Z39" s="24">
        <f t="shared" si="1"/>
        <v>9.7352743737700074</v>
      </c>
      <c r="AA39" s="24" t="str">
        <f t="shared" si="10"/>
        <v>61.1685329066337i</v>
      </c>
      <c r="AB39" s="24">
        <f t="shared" si="2"/>
        <v>8.870967741935484</v>
      </c>
      <c r="AC39" s="24"/>
      <c r="AD39" s="24" t="str">
        <f t="shared" si="3"/>
        <v>0.999992837812545-0.00267193839022246i</v>
      </c>
      <c r="AE39" s="24" t="str">
        <f t="shared" si="4"/>
        <v>0.99999999938366-0.0000266667527349973i</v>
      </c>
      <c r="AF39" s="24" t="str">
        <f t="shared" si="19"/>
        <v>7.06799686367222-0.0190738693065736i</v>
      </c>
      <c r="AG39" s="24">
        <f t="shared" si="5"/>
        <v>7.0680226002306092</v>
      </c>
      <c r="AH39" s="24">
        <f t="shared" si="20"/>
        <v>-2.6986179213692378E-3</v>
      </c>
      <c r="AI39" s="24">
        <f t="shared" si="0"/>
        <v>-0.15461941741282437</v>
      </c>
      <c r="AJ39" s="24">
        <f t="shared" si="21"/>
        <v>16.985958590151661</v>
      </c>
      <c r="AK39" s="24"/>
      <c r="AL39" s="24" t="str">
        <f t="shared" si="22"/>
        <v>0.97133845361964-0.16685341512671i</v>
      </c>
      <c r="AM39" s="24" t="str">
        <f t="shared" si="23"/>
        <v>1.00000002669963+0.00137128293269974i</v>
      </c>
      <c r="AN39" s="24" t="str">
        <f t="shared" si="24"/>
        <v>-326.611980173451+55.6433776141556i</v>
      </c>
      <c r="AO39" s="24">
        <f t="shared" si="6"/>
        <v>331.3179304914454</v>
      </c>
      <c r="AP39" s="24">
        <f t="shared" si="7"/>
        <v>2.9728473903670158</v>
      </c>
      <c r="AQ39" s="24">
        <f t="shared" si="8"/>
        <v>170.33160860451071</v>
      </c>
      <c r="AR39" s="24">
        <f t="shared" si="9"/>
        <v>50.404898799303822</v>
      </c>
      <c r="AS39" s="24">
        <f t="shared" si="25"/>
        <v>67.390857389455476</v>
      </c>
      <c r="AT39" s="24">
        <f t="shared" si="26"/>
        <v>170.17698918709789</v>
      </c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</row>
    <row r="40" spans="1:71">
      <c r="A40" s="11" t="s">
        <v>24</v>
      </c>
      <c r="B40" s="12"/>
      <c r="D40" s="13"/>
      <c r="Y40" s="24">
        <v>38</v>
      </c>
      <c r="Z40" s="24">
        <f t="shared" si="1"/>
        <v>10.352859241875105</v>
      </c>
      <c r="AA40" s="24" t="str">
        <f t="shared" si="10"/>
        <v>65.0489330758481i</v>
      </c>
      <c r="AB40" s="24">
        <f t="shared" si="2"/>
        <v>8.870967741935484</v>
      </c>
      <c r="AD40" s="24" t="str">
        <f t="shared" si="3"/>
        <v>0.999991900289401-0.0028414377425465i</v>
      </c>
      <c r="AE40" s="24" t="str">
        <f t="shared" si="4"/>
        <v>0.999999999302981-0.0000283584341729811i</v>
      </c>
      <c r="AF40" s="24" t="str">
        <f t="shared" si="19"/>
        <v>7.0679901707211-0.0202838554734896i</v>
      </c>
      <c r="AG40" s="24">
        <f t="shared" si="5"/>
        <v>7.0680192761623788</v>
      </c>
      <c r="AH40" s="24">
        <f t="shared" si="20"/>
        <v>-2.8698115445558925E-3</v>
      </c>
      <c r="AI40" s="24">
        <f t="shared" si="0"/>
        <v>-0.16442808950097265</v>
      </c>
      <c r="AJ40" s="24">
        <f t="shared" si="21"/>
        <v>16.985954505204823</v>
      </c>
      <c r="AL40" s="24" t="str">
        <f t="shared" si="22"/>
        <v>0.967707809281719-0.176775012761688i</v>
      </c>
      <c r="AM40" s="24" t="str">
        <f t="shared" si="23"/>
        <v>1.00000003019461+0.00145827417258749i</v>
      </c>
      <c r="AN40" s="24" t="str">
        <f t="shared" si="24"/>
        <v>-325.40121008512+58.9520976543058i</v>
      </c>
      <c r="AO40" s="24">
        <f t="shared" si="6"/>
        <v>330.69819676360981</v>
      </c>
      <c r="AP40" s="24">
        <f t="shared" si="7"/>
        <v>2.9623691634355889</v>
      </c>
      <c r="AQ40" s="24">
        <f t="shared" si="8"/>
        <v>169.73125042455965</v>
      </c>
      <c r="AR40" s="24">
        <f t="shared" si="9"/>
        <v>50.388636535845926</v>
      </c>
      <c r="AS40" s="24">
        <f t="shared" si="25"/>
        <v>67.374591041050749</v>
      </c>
      <c r="AT40" s="24">
        <f t="shared" si="26"/>
        <v>169.56682233505867</v>
      </c>
    </row>
    <row r="41" spans="1:71" s="1" customFormat="1">
      <c r="A41" s="8" t="s">
        <v>8</v>
      </c>
      <c r="B41" s="4">
        <v>70000</v>
      </c>
      <c r="C41" s="19" t="s">
        <v>102</v>
      </c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24"/>
      <c r="S41" s="24"/>
      <c r="T41" s="24"/>
      <c r="U41" s="24"/>
      <c r="V41" s="24"/>
      <c r="W41" s="24"/>
      <c r="X41" s="24"/>
      <c r="Y41" s="24">
        <v>39</v>
      </c>
      <c r="Z41" s="24">
        <f t="shared" si="1"/>
        <v>11.009622365740512</v>
      </c>
      <c r="AA41" s="24" t="str">
        <f t="shared" si="10"/>
        <v>69.1754974860165i</v>
      </c>
      <c r="AB41" s="24">
        <f t="shared" si="2"/>
        <v>8.870967741935484</v>
      </c>
      <c r="AC41" s="24"/>
      <c r="AD41" s="24" t="str">
        <f t="shared" si="3"/>
        <v>0.999990840046547-0.00302168922768214i</v>
      </c>
      <c r="AE41" s="24" t="str">
        <f t="shared" si="4"/>
        <v>0.999999999211741-0.0000301574322426099i</v>
      </c>
      <c r="AF41" s="24" t="str">
        <f t="shared" si="19"/>
        <v>7.06798260167746-0.0215705966943516i</v>
      </c>
      <c r="AG41" s="24">
        <f t="shared" si="5"/>
        <v>7.0680155169790781</v>
      </c>
      <c r="AH41" s="24">
        <f t="shared" si="20"/>
        <v>-3.051865141905535E-3</v>
      </c>
      <c r="AI41" s="24">
        <f t="shared" si="0"/>
        <v>-0.17485899227428123</v>
      </c>
      <c r="AJ41" s="24">
        <f t="shared" si="21"/>
        <v>16.985949885542833</v>
      </c>
      <c r="AK41" s="24"/>
      <c r="AL41" s="24" t="str">
        <f t="shared" si="22"/>
        <v>0.963634478470653-0.187197944361698i</v>
      </c>
      <c r="AM41" s="24" t="str">
        <f t="shared" si="23"/>
        <v>1.00000003414709+0.00155078394962242i</v>
      </c>
      <c r="AN41" s="24" t="str">
        <f t="shared" si="24"/>
        <v>-324.042810129937+62.4280059057208i</v>
      </c>
      <c r="AO41" s="24">
        <f t="shared" si="6"/>
        <v>330.00151320603226</v>
      </c>
      <c r="AP41" s="24">
        <f t="shared" si="7"/>
        <v>2.9512708394746845</v>
      </c>
      <c r="AQ41" s="24">
        <f t="shared" si="8"/>
        <v>169.09536330193089</v>
      </c>
      <c r="AR41" s="24">
        <f t="shared" si="9"/>
        <v>50.370318626377326</v>
      </c>
      <c r="AS41" s="24">
        <f t="shared" si="25"/>
        <v>67.356268511920163</v>
      </c>
      <c r="AT41" s="24">
        <f t="shared" si="26"/>
        <v>168.92050430965659</v>
      </c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</row>
    <row r="42" spans="1:71">
      <c r="A42" s="8" t="s">
        <v>16</v>
      </c>
      <c r="B42" s="16">
        <v>1400000</v>
      </c>
      <c r="C42" s="37" t="s">
        <v>56</v>
      </c>
      <c r="D42" s="13"/>
      <c r="Y42" s="24">
        <v>40</v>
      </c>
      <c r="Z42" s="24">
        <f t="shared" si="1"/>
        <v>11.708049129648925</v>
      </c>
      <c r="AA42" s="24" t="str">
        <f t="shared" si="10"/>
        <v>73.5638422671469i</v>
      </c>
      <c r="AB42" s="24">
        <f t="shared" si="2"/>
        <v>8.870967741935484</v>
      </c>
      <c r="AD42" s="24" t="str">
        <f t="shared" si="3"/>
        <v>0.999989641020558-0.0032133748280716i</v>
      </c>
      <c r="AE42" s="24" t="str">
        <f t="shared" si="4"/>
        <v>0.999999999108558-0.0000320705548801043i</v>
      </c>
      <c r="AF42" s="24" t="str">
        <f t="shared" si="19"/>
        <v>7.06797404186495-0.0229389613612827i</v>
      </c>
      <c r="AG42" s="24">
        <f t="shared" si="5"/>
        <v>7.0680112657256773</v>
      </c>
      <c r="AH42" s="24">
        <f t="shared" si="20"/>
        <v>-3.2454676101245734E-3</v>
      </c>
      <c r="AI42" s="24">
        <f t="shared" si="0"/>
        <v>-0.18595159660654778</v>
      </c>
      <c r="AJ42" s="24">
        <f t="shared" si="21"/>
        <v>16.985944661172731</v>
      </c>
      <c r="AL42" s="24" t="str">
        <f t="shared" si="22"/>
        <v>0.959069070960007-0.198130230121291i</v>
      </c>
      <c r="AM42" s="24" t="str">
        <f t="shared" si="23"/>
        <v>1.00000003861695+0.00164916234792914i</v>
      </c>
      <c r="AN42" s="24" t="str">
        <f t="shared" si="24"/>
        <v>-322.520309344829+66.0737770066181i</v>
      </c>
      <c r="AO42" s="24">
        <f t="shared" si="6"/>
        <v>329.2189149301791</v>
      </c>
      <c r="AP42" s="24">
        <f t="shared" si="7"/>
        <v>2.939521669976692</v>
      </c>
      <c r="AQ42" s="24">
        <f t="shared" si="8"/>
        <v>168.42218547691209</v>
      </c>
      <c r="AR42" s="24">
        <f t="shared" si="9"/>
        <v>50.349695583891865</v>
      </c>
      <c r="AS42" s="24">
        <f t="shared" si="25"/>
        <v>67.335640245064596</v>
      </c>
      <c r="AT42" s="24">
        <f t="shared" si="26"/>
        <v>168.23623388030555</v>
      </c>
    </row>
    <row r="43" spans="1:71" s="1" customFormat="1">
      <c r="A43" s="8" t="s">
        <v>28</v>
      </c>
      <c r="B43" s="4">
        <v>7000</v>
      </c>
      <c r="C43" s="19" t="s">
        <v>102</v>
      </c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24"/>
      <c r="S43" s="24"/>
      <c r="T43" s="24"/>
      <c r="U43" s="24"/>
      <c r="V43" s="24"/>
      <c r="W43" s="24"/>
      <c r="X43" s="24"/>
      <c r="Y43" s="24">
        <v>41</v>
      </c>
      <c r="Z43" s="24">
        <f t="shared" si="1"/>
        <v>12.4507825853165</v>
      </c>
      <c r="AA43" s="24" t="str">
        <f t="shared" si="10"/>
        <v>78.2305742029481i</v>
      </c>
      <c r="AB43" s="24">
        <f t="shared" si="2"/>
        <v>8.870967741935484</v>
      </c>
      <c r="AC43" s="24"/>
      <c r="AD43" s="24" t="str">
        <f t="shared" si="3"/>
        <v>0.999988285045472-0.00341721976741978i</v>
      </c>
      <c r="AE43" s="24" t="str">
        <f t="shared" si="4"/>
        <v>0.999999998991868-0.0000341050419025005i</v>
      </c>
      <c r="AF43" s="24" t="str">
        <f t="shared" si="19"/>
        <v>7.0679643615973-0.0243941265479846i</v>
      </c>
      <c r="AG43" s="24">
        <f t="shared" si="5"/>
        <v>7.0680064579922073</v>
      </c>
      <c r="AH43" s="24">
        <f t="shared" si="20"/>
        <v>-3.451351540608604E-3</v>
      </c>
      <c r="AI43" s="24">
        <f t="shared" si="0"/>
        <v>-0.19774787689284754</v>
      </c>
      <c r="AJ43" s="24">
        <f t="shared" si="21"/>
        <v>16.985938752939855</v>
      </c>
      <c r="AK43" s="24"/>
      <c r="AL43" s="24" t="str">
        <f t="shared" si="22"/>
        <v>0.953957897114094-0.209576305072282i</v>
      </c>
      <c r="AM43" s="24" t="str">
        <f t="shared" si="23"/>
        <v>1.00000004367191+0.00175378166021566i</v>
      </c>
      <c r="AN43" s="24" t="str">
        <f t="shared" si="24"/>
        <v>-320.815802972703+69.8908899934636i</v>
      </c>
      <c r="AO43" s="24">
        <f t="shared" si="6"/>
        <v>328.34054873118953</v>
      </c>
      <c r="AP43" s="24">
        <f t="shared" si="7"/>
        <v>2.9270905416396849</v>
      </c>
      <c r="AQ43" s="24">
        <f t="shared" si="8"/>
        <v>167.7099342886161</v>
      </c>
      <c r="AR43" s="24">
        <f t="shared" si="9"/>
        <v>50.326490393104713</v>
      </c>
      <c r="AS43" s="24">
        <f t="shared" si="25"/>
        <v>67.312429146044565</v>
      </c>
      <c r="AT43" s="24">
        <f t="shared" si="26"/>
        <v>167.51218641172326</v>
      </c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</row>
    <row r="44" spans="1:71" s="1" customFormat="1">
      <c r="A44" s="8" t="s">
        <v>29</v>
      </c>
      <c r="B44" s="4">
        <v>500000</v>
      </c>
      <c r="C44" s="19" t="s">
        <v>102</v>
      </c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24"/>
      <c r="S44" s="24"/>
      <c r="T44" s="24"/>
      <c r="U44" s="24"/>
      <c r="V44" s="24"/>
      <c r="W44" s="24"/>
      <c r="X44" s="24"/>
      <c r="Y44" s="24">
        <v>42</v>
      </c>
      <c r="Z44" s="24">
        <f t="shared" si="1"/>
        <v>13.240633453975693</v>
      </c>
      <c r="AA44" s="24" t="str">
        <f t="shared" si="10"/>
        <v>83.1933535757706i</v>
      </c>
      <c r="AB44" s="24">
        <f t="shared" si="2"/>
        <v>8.870967741935484</v>
      </c>
      <c r="AC44" s="24"/>
      <c r="AD44" s="24" t="str">
        <f t="shared" si="3"/>
        <v>0.999986751577612-0.00363399524932113i</v>
      </c>
      <c r="AE44" s="24" t="str">
        <f t="shared" si="4"/>
        <v>0.999999998859903-0.0000362685924052366i</v>
      </c>
      <c r="AF44" s="24" t="str">
        <f t="shared" si="19"/>
        <v>7.06795341421377-0.025941597559666i</v>
      </c>
      <c r="AG44" s="24">
        <f t="shared" si="5"/>
        <v>7.0680010209379596</v>
      </c>
      <c r="AH44" s="24">
        <f t="shared" si="20"/>
        <v>-3.670295989832666E-3</v>
      </c>
      <c r="AI44" s="24">
        <f t="shared" si="0"/>
        <v>-0.2102924697812027</v>
      </c>
      <c r="AJ44" s="24">
        <f t="shared" si="21"/>
        <v>16.985932071328623</v>
      </c>
      <c r="AK44" s="24"/>
      <c r="AL44" s="24" t="str">
        <f t="shared" si="22"/>
        <v>0.948242918598277-0.221536195522308i</v>
      </c>
      <c r="AM44" s="24" t="str">
        <f t="shared" si="23"/>
        <v>1.00000004938856+0.00186503779663785i</v>
      </c>
      <c r="AN44" s="24" t="str">
        <f t="shared" si="24"/>
        <v>-318.909936025019+73.8793536545807i</v>
      </c>
      <c r="AO44" s="24">
        <f t="shared" si="6"/>
        <v>327.35562648578428</v>
      </c>
      <c r="AP44" s="24">
        <f t="shared" si="7"/>
        <v>2.9139462230919642</v>
      </c>
      <c r="AQ44" s="24">
        <f t="shared" si="8"/>
        <v>166.95682031125617</v>
      </c>
      <c r="AR44" s="24">
        <f t="shared" si="9"/>
        <v>50.300396196788775</v>
      </c>
      <c r="AS44" s="24">
        <f t="shared" si="25"/>
        <v>67.286328268117401</v>
      </c>
      <c r="AT44" s="24">
        <f t="shared" si="26"/>
        <v>166.74652784147497</v>
      </c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</row>
    <row r="45" spans="1:71">
      <c r="A45" s="8" t="s">
        <v>47</v>
      </c>
      <c r="B45" s="14">
        <f>INDEX(AG2:AG202,MATCH(B41,Z2:Z202,1))</f>
        <v>0.37084086971361663</v>
      </c>
      <c r="C45" s="19"/>
      <c r="D45" s="13"/>
      <c r="Y45" s="24">
        <v>43</v>
      </c>
      <c r="Z45" s="24">
        <f t="shared" si="1"/>
        <v>14.080590762968805</v>
      </c>
      <c r="AA45" s="24" t="str">
        <f t="shared" si="10"/>
        <v>88.4709609982942i</v>
      </c>
      <c r="AB45" s="24">
        <f t="shared" si="2"/>
        <v>8.870967741935484</v>
      </c>
      <c r="AD45" s="24" t="str">
        <f t="shared" si="3"/>
        <v>0.999985017384403-0.0038645213687062i</v>
      </c>
      <c r="AE45" s="24" t="str">
        <f t="shared" si="4"/>
        <v>0.999999998710665-0.0000385693938977837i</v>
      </c>
      <c r="AF45" s="24" t="str">
        <f t="shared" si="19"/>
        <v>7.06794103385767-0.0275872287166588i</v>
      </c>
      <c r="AG45" s="24">
        <f t="shared" si="5"/>
        <v>7.0679948721881019</v>
      </c>
      <c r="AH45" s="24">
        <f t="shared" si="20"/>
        <v>-3.9031294251837081E-3</v>
      </c>
      <c r="AI45" s="24">
        <f t="shared" si="0"/>
        <v>-0.2236328429563495</v>
      </c>
      <c r="AJ45" s="24">
        <f t="shared" si="21"/>
        <v>16.985924515106472</v>
      </c>
      <c r="AL45" s="24" t="str">
        <f t="shared" si="22"/>
        <v>0.94186180017384-0.234004593004355i</v>
      </c>
      <c r="AM45" s="24" t="str">
        <f t="shared" si="23"/>
        <v>1.00000005585353+0.00198335178303956i</v>
      </c>
      <c r="AN45" s="24" t="str">
        <f t="shared" si="24"/>
        <v>-316.781920554667+78.0373977050778i</v>
      </c>
      <c r="AO45" s="24">
        <f t="shared" si="6"/>
        <v>326.25238793131285</v>
      </c>
      <c r="AP45" s="24">
        <f t="shared" si="7"/>
        <v>2.9000576655122114</v>
      </c>
      <c r="AQ45" s="24">
        <f t="shared" si="8"/>
        <v>166.1610645784119</v>
      </c>
      <c r="AR45" s="24">
        <f t="shared" si="9"/>
        <v>50.271073981584031</v>
      </c>
      <c r="AS45" s="24">
        <f t="shared" si="25"/>
        <v>67.2569984966905</v>
      </c>
      <c r="AT45" s="24">
        <f t="shared" si="26"/>
        <v>165.93743173545553</v>
      </c>
    </row>
    <row r="46" spans="1:71">
      <c r="A46" s="8" t="s">
        <v>26</v>
      </c>
      <c r="B46" s="14">
        <f>B44/(B45*(B44-B43)*B13)*(B5/0.8)*SQRT(1+(B41/B44)^2)/SQRT(1+(B43/B41)^2)</f>
        <v>11334.795093764817</v>
      </c>
      <c r="C46" s="37" t="s">
        <v>56</v>
      </c>
      <c r="D46" s="6">
        <f>B46</f>
        <v>11334.795093764817</v>
      </c>
      <c r="E46" s="37" t="s">
        <v>56</v>
      </c>
      <c r="Y46" s="24">
        <v>44</v>
      </c>
      <c r="Z46" s="24">
        <f t="shared" si="1"/>
        <v>14.973833157104059</v>
      </c>
      <c r="AA46" s="24" t="str">
        <f t="shared" si="10"/>
        <v>94.0833684848747i</v>
      </c>
      <c r="AB46" s="24">
        <f t="shared" si="2"/>
        <v>8.870967741935484</v>
      </c>
      <c r="AD46" s="24" t="str">
        <f t="shared" si="3"/>
        <v>0.999983056192472-0.00410967020688623i</v>
      </c>
      <c r="AE46" s="24" t="str">
        <f t="shared" si="4"/>
        <v>0.999999998541891-0.0000410161532875761i</v>
      </c>
      <c r="AF46" s="24" t="str">
        <f t="shared" si="19"/>
        <v>7.06792703296414-0.0293372454486652i</v>
      </c>
      <c r="AG46" s="24">
        <f t="shared" si="5"/>
        <v>7.0679879185858665</v>
      </c>
      <c r="AH46" s="24">
        <f t="shared" si="20"/>
        <v>-4.1507328573033003E-3</v>
      </c>
      <c r="AI46" s="24">
        <f t="shared" si="0"/>
        <v>-0.23781947460975608</v>
      </c>
      <c r="AJ46" s="24">
        <f t="shared" si="21"/>
        <v>16.985915969790238</v>
      </c>
      <c r="AL46" s="24" t="str">
        <f t="shared" si="22"/>
        <v>0.934748092560728-0.246969828146697i</v>
      </c>
      <c r="AM46" s="24" t="str">
        <f t="shared" si="23"/>
        <v>1.00000006316476+0.00210917135423759i</v>
      </c>
      <c r="AN46" s="24" t="str">
        <f t="shared" si="24"/>
        <v>-314.409596638169+82.3611305866049i</v>
      </c>
      <c r="AO46" s="24">
        <f t="shared" si="6"/>
        <v>325.01807686601046</v>
      </c>
      <c r="AP46" s="24">
        <f t="shared" si="7"/>
        <v>2.8853943634070829</v>
      </c>
      <c r="AQ46" s="24">
        <f t="shared" si="8"/>
        <v>165.32091925406274</v>
      </c>
      <c r="AR46" s="24">
        <f t="shared" si="9"/>
        <v>50.238150325105764</v>
      </c>
      <c r="AS46" s="24">
        <f t="shared" si="25"/>
        <v>67.224066294896005</v>
      </c>
      <c r="AT46" s="24">
        <f t="shared" si="26"/>
        <v>165.08309977945299</v>
      </c>
    </row>
    <row r="47" spans="1:71">
      <c r="A47" s="8" t="s">
        <v>25</v>
      </c>
      <c r="B47" s="14">
        <f>1/(B46*B43*2*PI())*1000000000000</f>
        <v>2005.8960266698127</v>
      </c>
      <c r="C47" s="19" t="s">
        <v>110</v>
      </c>
      <c r="D47" s="41">
        <f>B47</f>
        <v>2005.8960266698127</v>
      </c>
      <c r="E47" s="13" t="s">
        <v>110</v>
      </c>
      <c r="Y47" s="24">
        <v>45</v>
      </c>
      <c r="Z47" s="24">
        <f t="shared" si="1"/>
        <v>15.923740927579823</v>
      </c>
      <c r="AA47" s="24" t="str">
        <f t="shared" si="10"/>
        <v>100.051815031504i</v>
      </c>
      <c r="AB47" s="24">
        <f t="shared" si="2"/>
        <v>8.870967741935484</v>
      </c>
      <c r="AD47" s="24" t="str">
        <f t="shared" si="3"/>
        <v>0.999980838289699-0.00437036912162027i</v>
      </c>
      <c r="AE47" s="24" t="str">
        <f t="shared" si="4"/>
        <v>0.999999998351025-0.0000436181298294958i</v>
      </c>
      <c r="AF47" s="24" t="str">
        <f t="shared" si="19"/>
        <v>7.0679111994192-0.0311982677811895i</v>
      </c>
      <c r="AG47" s="24">
        <f t="shared" si="5"/>
        <v>7.0679800547814144</v>
      </c>
      <c r="AH47" s="24">
        <f t="shared" si="20"/>
        <v>-4.4140431706977401E-3</v>
      </c>
      <c r="AI47" s="24">
        <f t="shared" si="0"/>
        <v>-0.25290604426952451</v>
      </c>
      <c r="AJ47" s="24">
        <f t="shared" si="21"/>
        <v>16.985906305911865</v>
      </c>
      <c r="AL47" s="24" t="str">
        <f t="shared" si="22"/>
        <v>0.926831580498761-0.260412752930669i</v>
      </c>
      <c r="AM47" s="24" t="str">
        <f t="shared" si="23"/>
        <v>1.00000007143303+0.00224297264838129i</v>
      </c>
      <c r="AN47" s="24" t="str">
        <f t="shared" si="24"/>
        <v>-311.769548449335+86.8441667157195i</v>
      </c>
      <c r="AO47" s="24">
        <f t="shared" si="6"/>
        <v>323.6389355946684</v>
      </c>
      <c r="AP47" s="24">
        <f t="shared" si="7"/>
        <v>2.8699267814832363</v>
      </c>
      <c r="AQ47" s="24">
        <f t="shared" si="8"/>
        <v>164.43469209055351</v>
      </c>
      <c r="AR47" s="24">
        <f t="shared" si="9"/>
        <v>50.201215283323741</v>
      </c>
      <c r="AS47" s="24">
        <f t="shared" si="25"/>
        <v>67.187121589235602</v>
      </c>
      <c r="AT47" s="24">
        <f t="shared" si="26"/>
        <v>164.18178604628397</v>
      </c>
    </row>
    <row r="48" spans="1:71">
      <c r="A48" s="8" t="s">
        <v>27</v>
      </c>
      <c r="B48" s="14">
        <f>1/(B46*B44*2*PI())*1000000000000</f>
        <v>28.082544373377385</v>
      </c>
      <c r="C48" s="19" t="s">
        <v>110</v>
      </c>
      <c r="D48" s="6">
        <f>B48</f>
        <v>28.082544373377385</v>
      </c>
      <c r="E48" s="13" t="s">
        <v>110</v>
      </c>
      <c r="Y48" s="24">
        <v>46</v>
      </c>
      <c r="Z48" s="24">
        <f t="shared" si="1"/>
        <v>16.933908803997952</v>
      </c>
      <c r="AA48" s="24" t="str">
        <f t="shared" si="10"/>
        <v>106.398886990399i</v>
      </c>
      <c r="AB48" s="24">
        <f t="shared" si="2"/>
        <v>8.870967741935484</v>
      </c>
      <c r="AD48" s="24" t="str">
        <f t="shared" si="3"/>
        <v>0.999978330075214-0.00464760424430933i</v>
      </c>
      <c r="AE48" s="24" t="str">
        <f t="shared" si="4"/>
        <v>0.999999998135173-0.000046385170165599i</v>
      </c>
      <c r="AF48" s="24" t="str">
        <f t="shared" si="19"/>
        <v>7.06789329334718-0.0331773353005631i</v>
      </c>
      <c r="AG48" s="24">
        <f t="shared" si="5"/>
        <v>7.0679711616361098</v>
      </c>
      <c r="AH48" s="24">
        <f t="shared" si="20"/>
        <v>-4.6940566651038056E-3</v>
      </c>
      <c r="AI48" s="24">
        <f t="shared" si="0"/>
        <v>-0.26894963570570213</v>
      </c>
      <c r="AJ48" s="24">
        <f t="shared" si="21"/>
        <v>16.985895377057133</v>
      </c>
      <c r="AL48" s="24" t="str">
        <f t="shared" si="22"/>
        <v>0.918038833651092-0.274305547810529i</v>
      </c>
      <c r="AM48" s="24" t="str">
        <f t="shared" si="23"/>
        <v>1.00000008078362+0.00238526200879861i</v>
      </c>
      <c r="AN48" s="24" t="str">
        <f t="shared" si="24"/>
        <v>-308.837287978006+91.4772286747904i</v>
      </c>
      <c r="AO48" s="24">
        <f t="shared" si="6"/>
        <v>322.10022324057724</v>
      </c>
      <c r="AP48" s="24">
        <f t="shared" si="7"/>
        <v>2.8536268527947679</v>
      </c>
      <c r="AQ48" s="24">
        <f t="shared" si="8"/>
        <v>163.50077497034005</v>
      </c>
      <c r="AR48" s="24">
        <f t="shared" si="9"/>
        <v>50.159820516394895</v>
      </c>
      <c r="AS48" s="24">
        <f t="shared" si="25"/>
        <v>67.145715893452035</v>
      </c>
      <c r="AT48" s="24">
        <f t="shared" si="26"/>
        <v>163.23182533463435</v>
      </c>
    </row>
    <row r="49" spans="1:46" ht="34.5" customHeight="1">
      <c r="A49" s="50" t="s">
        <v>111</v>
      </c>
      <c r="B49" s="51"/>
      <c r="C49" s="51"/>
      <c r="D49" s="51"/>
      <c r="Y49" s="24">
        <v>47</v>
      </c>
      <c r="Z49" s="24">
        <f t="shared" si="1"/>
        <v>18.008159557874837</v>
      </c>
      <c r="AA49" s="24" t="str">
        <f t="shared" si="10"/>
        <v>113.148603543385i</v>
      </c>
      <c r="AB49" s="24">
        <f t="shared" si="2"/>
        <v>8.870967741935484</v>
      </c>
      <c r="AD49" s="24" t="str">
        <f t="shared" si="3"/>
        <v>0.999975493550514-0.00494242419713549i</v>
      </c>
      <c r="AE49" s="24" t="str">
        <f t="shared" si="4"/>
        <v>0.999999997891068-0.0000493277455876889i</v>
      </c>
      <c r="AF49" s="24" t="str">
        <f t="shared" si="19"/>
        <v>7.06787304347786-0.0352819336890664i</v>
      </c>
      <c r="AG49" s="24">
        <f t="shared" si="5"/>
        <v>7.067961104418008</v>
      </c>
      <c r="AH49" s="24">
        <f t="shared" si="20"/>
        <v>-4.9918328208726622E-3</v>
      </c>
      <c r="AI49" s="24">
        <f t="shared" si="0"/>
        <v>-0.28601095267088783</v>
      </c>
      <c r="AJ49" s="24">
        <f t="shared" si="21"/>
        <v>16.985883017647815</v>
      </c>
      <c r="AL49" s="24" t="str">
        <f t="shared" si="22"/>
        <v>0.908294000256652-0.288610480326722i</v>
      </c>
      <c r="AM49" s="24" t="str">
        <f t="shared" si="23"/>
        <v>1.0000000913582+0.00253657790014741i</v>
      </c>
      <c r="AN49" s="24" t="str">
        <f t="shared" si="24"/>
        <v>-305.587519702253+96.24773322662i</v>
      </c>
      <c r="AO49" s="24">
        <f t="shared" si="6"/>
        <v>320.38626429520582</v>
      </c>
      <c r="AP49" s="24">
        <f t="shared" si="7"/>
        <v>2.8364685520330668</v>
      </c>
      <c r="AQ49" s="24">
        <f t="shared" si="8"/>
        <v>162.51767675307846</v>
      </c>
      <c r="AR49" s="24">
        <f t="shared" si="9"/>
        <v>50.113477771922561</v>
      </c>
      <c r="AS49" s="24">
        <f t="shared" si="25"/>
        <v>67.099360789570369</v>
      </c>
      <c r="AT49" s="24">
        <f t="shared" si="26"/>
        <v>162.23166580040757</v>
      </c>
    </row>
    <row r="50" spans="1:46">
      <c r="C50" s="22"/>
      <c r="D50" s="19"/>
      <c r="Y50" s="24">
        <v>48</v>
      </c>
      <c r="Z50" s="24">
        <f t="shared" si="1"/>
        <v>19.150558469130036</v>
      </c>
      <c r="AA50" s="24" t="str">
        <f t="shared" si="10"/>
        <v>120.326507597521i</v>
      </c>
      <c r="AB50" s="24">
        <f t="shared" si="2"/>
        <v>8.870967741935484</v>
      </c>
      <c r="AD50" s="24" t="str">
        <f t="shared" si="3"/>
        <v>0.999972285744015-0.00525594404371192i</v>
      </c>
      <c r="AE50" s="24" t="str">
        <f t="shared" si="4"/>
        <v>0.999999997615008-0.000052456991663739i</v>
      </c>
      <c r="AF50" s="24" t="str">
        <f t="shared" si="19"/>
        <v>7.0678501430383-0.0375200229269858i</v>
      </c>
      <c r="AG50" s="24">
        <f t="shared" si="5"/>
        <v>7.0679497307611747</v>
      </c>
      <c r="AH50" s="24">
        <f t="shared" si="20"/>
        <v>-5.30849830245325E-3</v>
      </c>
      <c r="AI50" s="24">
        <f t="shared" si="0"/>
        <v>-0.3041545482829332</v>
      </c>
      <c r="AJ50" s="24">
        <f t="shared" si="21"/>
        <v>16.985869040433442</v>
      </c>
      <c r="AL50" s="24" t="str">
        <f t="shared" si="22"/>
        <v>0.897519883652065-0.303278654213001i</v>
      </c>
      <c r="AM50" s="24" t="str">
        <f t="shared" si="23"/>
        <v>1.00000010331699+0.00269749294612315i</v>
      </c>
      <c r="AN50" s="24" t="str">
        <f t="shared" si="24"/>
        <v>-301.994499593676+101.139374158906i</v>
      </c>
      <c r="AO50" s="24">
        <f t="shared" si="6"/>
        <v>318.48053439745723</v>
      </c>
      <c r="AP50" s="24">
        <f t="shared" si="7"/>
        <v>2.8184285458193803</v>
      </c>
      <c r="AQ50" s="24">
        <f t="shared" si="8"/>
        <v>161.48406053464447</v>
      </c>
      <c r="AR50" s="24">
        <f t="shared" si="9"/>
        <v>50.061657866104603</v>
      </c>
      <c r="AS50" s="24">
        <f t="shared" si="25"/>
        <v>67.047526906538053</v>
      </c>
      <c r="AT50" s="24">
        <f t="shared" si="26"/>
        <v>161.17990598636155</v>
      </c>
    </row>
    <row r="51" spans="1:46">
      <c r="C51" s="22"/>
      <c r="D51" s="19"/>
      <c r="Y51" s="24">
        <v>49</v>
      </c>
      <c r="Z51" s="24">
        <f t="shared" si="1"/>
        <v>20.365428710297824</v>
      </c>
      <c r="AA51" s="24" t="str">
        <f t="shared" si="10"/>
        <v>127.959762446957i</v>
      </c>
      <c r="AB51" s="24">
        <f t="shared" si="2"/>
        <v>8.870967741935484</v>
      </c>
      <c r="AD51" s="24" t="str">
        <f t="shared" si="3"/>
        <v>0.999968658060332-0.00558934948759247i</v>
      </c>
      <c r="AE51" s="24" t="str">
        <f t="shared" si="4"/>
        <v>0.999999997302813-0.000055784750378137i</v>
      </c>
      <c r="AF51" s="24" t="str">
        <f t="shared" si="19"/>
        <v>7.06782424510746-0.0399000672640388i</v>
      </c>
      <c r="AG51" s="24">
        <f t="shared" si="5"/>
        <v>7.0679368683581583</v>
      </c>
      <c r="AH51" s="24">
        <f t="shared" si="20"/>
        <v>-5.6452512149249229E-3</v>
      </c>
      <c r="AI51" s="24">
        <f t="shared" si="0"/>
        <v>-0.32344906890629849</v>
      </c>
      <c r="AJ51" s="24">
        <f t="shared" si="21"/>
        <v>16.985853233655099</v>
      </c>
      <c r="AL51" s="24" t="str">
        <f t="shared" si="22"/>
        <v>0.885639338972687-0.318248802412058i</v>
      </c>
      <c r="AM51" s="24" t="str">
        <f t="shared" si="23"/>
        <v>1.00000011684119+0.00286861609643434i</v>
      </c>
      <c r="AN51" s="24" t="str">
        <f t="shared" si="24"/>
        <v>-298.032500898042+106.131719771591i</v>
      </c>
      <c r="AO51" s="24">
        <f t="shared" si="6"/>
        <v>316.36579071261309</v>
      </c>
      <c r="AP51" s="24">
        <f t="shared" si="7"/>
        <v>2.7994869190282499</v>
      </c>
      <c r="AQ51" s="24">
        <f t="shared" si="8"/>
        <v>160.39878526240074</v>
      </c>
      <c r="AR51" s="24">
        <f t="shared" si="9"/>
        <v>50.003790324074913</v>
      </c>
      <c r="AS51" s="24">
        <f t="shared" si="25"/>
        <v>66.989643557730005</v>
      </c>
      <c r="AT51" s="24">
        <f t="shared" si="26"/>
        <v>160.07533619349445</v>
      </c>
    </row>
    <row r="52" spans="1:46">
      <c r="C52" s="22"/>
      <c r="D52" s="19"/>
      <c r="Y52" s="24">
        <v>50</v>
      </c>
      <c r="Z52" s="24">
        <f t="shared" si="1"/>
        <v>21.657367706679931</v>
      </c>
      <c r="AA52" s="24" t="str">
        <f t="shared" si="10"/>
        <v>136.077254566797i</v>
      </c>
      <c r="AB52" s="24">
        <f t="shared" si="2"/>
        <v>8.870967741935484</v>
      </c>
      <c r="AD52" s="24" t="str">
        <f t="shared" si="3"/>
        <v>0.999964555544456-0.00594390133380428i</v>
      </c>
      <c r="AE52" s="24" t="str">
        <f t="shared" si="4"/>
        <v>0.999999996949751-0.0000593236149452036i</v>
      </c>
      <c r="AF52" s="24" t="str">
        <f t="shared" si="19"/>
        <v>7.06779495736306-0.0424310670684086i</v>
      </c>
      <c r="AG52" s="24">
        <f t="shared" si="5"/>
        <v>7.0679223223504151</v>
      </c>
      <c r="AH52" s="24">
        <f t="shared" si="20"/>
        <v>-6.0033656294438296E-3</v>
      </c>
      <c r="AI52" s="24">
        <f t="shared" si="0"/>
        <v>-0.34396751344103033</v>
      </c>
      <c r="AJ52" s="24">
        <f t="shared" si="21"/>
        <v>16.985835357837825</v>
      </c>
      <c r="AL52" s="24" t="str">
        <f t="shared" si="22"/>
        <v>0.872577020397175-0.333446193368529i</v>
      </c>
      <c r="AM52" s="24" t="str">
        <f t="shared" si="23"/>
        <v>1.00000013213571+0.00305059493124607i</v>
      </c>
      <c r="AN52" s="24" t="str">
        <f t="shared" si="24"/>
        <v>-293.67639681738+111.19984814067i</v>
      </c>
      <c r="AO52" s="24">
        <f t="shared" si="6"/>
        <v>314.02425427687479</v>
      </c>
      <c r="AP52" s="24">
        <f t="shared" si="7"/>
        <v>2.7796279724003887</v>
      </c>
      <c r="AQ52" s="24">
        <f t="shared" si="8"/>
        <v>159.26095143504875</v>
      </c>
      <c r="AR52" s="24">
        <f t="shared" si="9"/>
        <v>49.939263859031882</v>
      </c>
      <c r="AS52" s="24">
        <f t="shared" si="25"/>
        <v>66.925099216869711</v>
      </c>
      <c r="AT52" s="24">
        <f t="shared" si="26"/>
        <v>158.91698392160771</v>
      </c>
    </row>
    <row r="53" spans="1:46">
      <c r="C53" s="22"/>
      <c r="D53" s="39"/>
      <c r="Y53" s="24">
        <v>51</v>
      </c>
      <c r="Z53" s="24">
        <f t="shared" si="1"/>
        <v>23.031264534351347</v>
      </c>
      <c r="AA53" s="24" t="str">
        <f t="shared" si="10"/>
        <v>144.709702928003i</v>
      </c>
      <c r="AB53" s="24">
        <f t="shared" si="2"/>
        <v>8.870967741935484</v>
      </c>
      <c r="AD53" s="24" t="str">
        <f t="shared" si="3"/>
        <v>0.999959916049699-0.0063209402294179i</v>
      </c>
      <c r="AE53" s="24" t="str">
        <f t="shared" si="4"/>
        <v>0.999999996550472-0.0000630869774655911i</v>
      </c>
      <c r="AF53" s="24" t="str">
        <f t="shared" si="19"/>
        <v>7.06776183614166-0.0451225926677117i</v>
      </c>
      <c r="AG53" s="24">
        <f t="shared" si="5"/>
        <v>7.0679058723775867</v>
      </c>
      <c r="AH53" s="24">
        <f t="shared" si="20"/>
        <v>-6.3841963944390378E-3</v>
      </c>
      <c r="AI53" s="24">
        <f t="shared" si="0"/>
        <v>-0.36578750898399426</v>
      </c>
      <c r="AJ53" s="24">
        <f t="shared" si="21"/>
        <v>16.985815142163645</v>
      </c>
      <c r="AL53" s="24" t="str">
        <f t="shared" si="22"/>
        <v>0.858261497067604-0.348781736504192i</v>
      </c>
      <c r="AM53" s="24" t="str">
        <f t="shared" si="23"/>
        <v>1.00000014943228+0.00324411811181256i</v>
      </c>
      <c r="AN53" s="24" t="str">
        <f t="shared" si="24"/>
        <v>-288.90236614032+116.31404880653i</v>
      </c>
      <c r="AO53" s="24">
        <f t="shared" si="6"/>
        <v>311.4378511216056</v>
      </c>
      <c r="AP53" s="24">
        <f t="shared" si="7"/>
        <v>2.7588410819285132</v>
      </c>
      <c r="AQ53" s="24">
        <f t="shared" si="8"/>
        <v>158.06995034180957</v>
      </c>
      <c r="AR53" s="24">
        <f t="shared" si="9"/>
        <v>49.867427882963433</v>
      </c>
      <c r="AS53" s="24">
        <f t="shared" si="25"/>
        <v>66.853243025127085</v>
      </c>
      <c r="AT53" s="24">
        <f t="shared" si="26"/>
        <v>157.70416283282557</v>
      </c>
    </row>
    <row r="54" spans="1:46">
      <c r="C54" s="22"/>
      <c r="D54" s="19"/>
      <c r="Y54" s="24">
        <v>52</v>
      </c>
      <c r="Z54" s="24">
        <f t="shared" si="1"/>
        <v>24.492318421858034</v>
      </c>
      <c r="AA54" s="24" t="str">
        <f t="shared" si="10"/>
        <v>153.889775246982i</v>
      </c>
      <c r="AB54" s="24">
        <f t="shared" si="2"/>
        <v>8.870967741935484</v>
      </c>
      <c r="AD54" s="24" t="str">
        <f t="shared" si="3"/>
        <v>0.999954669296844-0.00672189170004596i</v>
      </c>
      <c r="AE54" s="24" t="str">
        <f t="shared" si="4"/>
        <v>0.999999996098929-0.0000670890796058906i</v>
      </c>
      <c r="AF54" s="24" t="str">
        <f t="shared" si="19"/>
        <v>7.06772437972195-0.0479848203024747i</v>
      </c>
      <c r="AG54" s="24">
        <f t="shared" si="5"/>
        <v>7.0678872692407513</v>
      </c>
      <c r="AH54" s="24">
        <f t="shared" si="20"/>
        <v>-6.789184250413343E-3</v>
      </c>
      <c r="AI54" s="24">
        <f t="shared" si="0"/>
        <v>-0.38899160388537402</v>
      </c>
      <c r="AJ54" s="24">
        <f t="shared" si="21"/>
        <v>16.985792280369921</v>
      </c>
      <c r="AL54" s="24" t="str">
        <f t="shared" si="22"/>
        <v>0.842627737260044-0.364151388381346i</v>
      </c>
      <c r="AM54" s="24" t="str">
        <f t="shared" si="23"/>
        <v>1.00000016899298+0.00344991798657222i</v>
      </c>
      <c r="AN54" s="24" t="str">
        <f t="shared" si="24"/>
        <v>-283.688721678908+121.439624737684i</v>
      </c>
      <c r="AO54" s="24">
        <f t="shared" si="6"/>
        <v>308.58851771289619</v>
      </c>
      <c r="AP54" s="24">
        <f t="shared" si="7"/>
        <v>2.7371216047270504</v>
      </c>
      <c r="AQ54" s="24">
        <f t="shared" si="8"/>
        <v>156.82551596493516</v>
      </c>
      <c r="AR54" s="24">
        <f t="shared" si="9"/>
        <v>49.787595246810724</v>
      </c>
      <c r="AS54" s="24">
        <f t="shared" si="25"/>
        <v>66.773387527180645</v>
      </c>
      <c r="AT54" s="24">
        <f t="shared" si="26"/>
        <v>156.43652436104978</v>
      </c>
    </row>
    <row r="55" spans="1:46">
      <c r="C55" s="22"/>
      <c r="D55" s="19"/>
      <c r="Y55" s="24">
        <v>53</v>
      </c>
      <c r="Z55" s="24">
        <f t="shared" si="1"/>
        <v>26.046058425622668</v>
      </c>
      <c r="AA55" s="24" t="str">
        <f t="shared" si="10"/>
        <v>163.652211609813i</v>
      </c>
      <c r="AB55" s="24">
        <f t="shared" si="2"/>
        <v>8.870967741935484</v>
      </c>
      <c r="AD55" s="24" t="str">
        <f t="shared" si="3"/>
        <v>0.999948735810283-0.00714827150007244i</v>
      </c>
      <c r="AE55" s="24" t="str">
        <f t="shared" si="4"/>
        <v>0.999999995588278-0.0000713450664932442i</v>
      </c>
      <c r="AF55" s="24" t="str">
        <f t="shared" si="19"/>
        <v>7.0676820207298-0.051028570319201i</v>
      </c>
      <c r="AG55" s="24">
        <f t="shared" si="5"/>
        <v>7.0678662311291722</v>
      </c>
      <c r="AH55" s="24">
        <f t="shared" si="20"/>
        <v>-7.2198612672849053E-3</v>
      </c>
      <c r="AI55" s="24">
        <f t="shared" si="0"/>
        <v>-0.41366757928539905</v>
      </c>
      <c r="AJ55" s="24">
        <f t="shared" si="21"/>
        <v>16.98576642611102</v>
      </c>
      <c r="AL55" s="24" t="str">
        <f t="shared" si="22"/>
        <v>0.825619934807583-0.379435973592259i</v>
      </c>
      <c r="AM55" s="24" t="str">
        <f t="shared" si="23"/>
        <v>1.00000019111417+0.00366877336256787i</v>
      </c>
      <c r="AN55" s="24" t="str">
        <f t="shared" si="24"/>
        <v>-278.016852841912+126.536832599959i</v>
      </c>
      <c r="AO55" s="24">
        <f t="shared" si="6"/>
        <v>305.45857406291839</v>
      </c>
      <c r="AP55" s="24">
        <f t="shared" si="7"/>
        <v>2.7144718094461933</v>
      </c>
      <c r="AQ55" s="24">
        <f t="shared" si="8"/>
        <v>155.52777828850671</v>
      </c>
      <c r="AR55" s="24">
        <f t="shared" si="9"/>
        <v>49.699046401176034</v>
      </c>
      <c r="AS55" s="24">
        <f t="shared" si="25"/>
        <v>66.684812827287061</v>
      </c>
      <c r="AT55" s="24">
        <f t="shared" si="26"/>
        <v>155.11411070922131</v>
      </c>
    </row>
    <row r="56" spans="1:46">
      <c r="D56" s="13"/>
      <c r="Y56" s="24">
        <v>54</v>
      </c>
      <c r="Z56" s="24">
        <f t="shared" si="1"/>
        <v>27.698364353515743</v>
      </c>
      <c r="AA56" s="24" t="str">
        <f t="shared" si="10"/>
        <v>174.033955938917i</v>
      </c>
      <c r="AB56" s="24">
        <f t="shared" si="2"/>
        <v>8.870967741935484</v>
      </c>
      <c r="AD56" s="24" t="str">
        <f t="shared" si="3"/>
        <v>0.999942025715095-0.0076016912953446i</v>
      </c>
      <c r="AE56" s="24" t="str">
        <f t="shared" si="4"/>
        <v>0.999999995010784-0.0000758710440289094i</v>
      </c>
      <c r="AF56" s="24" t="str">
        <f t="shared" si="19"/>
        <v>7.06763411755071-0.0542653477367488i</v>
      </c>
      <c r="AG56" s="24">
        <f t="shared" si="5"/>
        <v>7.0678424393538783</v>
      </c>
      <c r="AH56" s="24">
        <f t="shared" si="20"/>
        <v>-7.6778566243386834E-3</v>
      </c>
      <c r="AI56" s="24">
        <f t="shared" si="0"/>
        <v>-0.4399087802811677</v>
      </c>
      <c r="AJ56" s="24">
        <f t="shared" si="21"/>
        <v>16.985737187713525</v>
      </c>
      <c r="AL56" s="24" t="str">
        <f t="shared" si="22"/>
        <v>0.807194619147431-0.394501541146375i</v>
      </c>
      <c r="AM56" s="24" t="str">
        <f t="shared" si="23"/>
        <v>1.00000021613103+0.00390151245267941i</v>
      </c>
      <c r="AN56" s="24" t="str">
        <f t="shared" si="24"/>
        <v>-271.872262792881+131.561001606863i</v>
      </c>
      <c r="AO56" s="24">
        <f t="shared" si="6"/>
        <v>302.03116465014392</v>
      </c>
      <c r="AP56" s="24">
        <f t="shared" si="7"/>
        <v>2.6909018020327324</v>
      </c>
      <c r="AQ56" s="24">
        <f t="shared" si="8"/>
        <v>154.17731634062332</v>
      </c>
      <c r="AR56" s="24">
        <f t="shared" si="9"/>
        <v>49.601035146380632</v>
      </c>
      <c r="AS56" s="24">
        <f t="shared" si="25"/>
        <v>66.58677233409415</v>
      </c>
      <c r="AT56" s="24">
        <f t="shared" si="26"/>
        <v>153.73740756034215</v>
      </c>
    </row>
    <row r="57" spans="1:46">
      <c r="D57" s="13"/>
      <c r="Y57" s="24">
        <v>55</v>
      </c>
      <c r="Z57" s="24">
        <f t="shared" si="1"/>
        <v>29.45548901577305</v>
      </c>
      <c r="AA57" s="24" t="str">
        <f t="shared" si="10"/>
        <v>185.074295799695i</v>
      </c>
      <c r="AB57" s="24">
        <f t="shared" si="2"/>
        <v>8.870967741935484</v>
      </c>
      <c r="AD57" s="24" t="str">
        <f t="shared" si="3"/>
        <v>0.999934437376907-0.00808386469801273i</v>
      </c>
      <c r="AE57" s="24" t="str">
        <f t="shared" si="4"/>
        <v>0.999999994357695-0.0000806841398376657i</v>
      </c>
      <c r="AF57" s="24" t="str">
        <f t="shared" si="19"/>
        <v>7.06757994461976-0.0577073853265417i</v>
      </c>
      <c r="AG57" s="24">
        <f t="shared" si="5"/>
        <v>7.067815533523258</v>
      </c>
      <c r="AH57" s="24">
        <f t="shared" si="20"/>
        <v>-8.1649027540519961E-3</v>
      </c>
      <c r="AI57" s="24">
        <f t="shared" si="0"/>
        <v>-0.46781446794192177</v>
      </c>
      <c r="AJ57" s="24">
        <f t="shared" si="21"/>
        <v>16.985704122245213</v>
      </c>
      <c r="AL57" s="24" t="str">
        <f t="shared" si="22"/>
        <v>0.787323951628875-0.409200374902526i</v>
      </c>
      <c r="AM57" s="24" t="str">
        <f t="shared" si="23"/>
        <v>1.00000024442259+0.00414901600982257i</v>
      </c>
      <c r="AN57" s="24" t="str">
        <f t="shared" si="24"/>
        <v>-265.245667723622+136.462870484975i</v>
      </c>
      <c r="AO57" s="24">
        <f t="shared" si="6"/>
        <v>298.29076295981599</v>
      </c>
      <c r="AP57" s="24">
        <f t="shared" si="7"/>
        <v>2.6664304102264418</v>
      </c>
      <c r="AQ57" s="24">
        <f t="shared" si="8"/>
        <v>152.77520887131186</v>
      </c>
      <c r="AR57" s="24">
        <f t="shared" si="9"/>
        <v>49.492796099243051</v>
      </c>
      <c r="AS57" s="24">
        <f t="shared" si="25"/>
        <v>66.478500221488261</v>
      </c>
      <c r="AT57" s="24">
        <f t="shared" si="26"/>
        <v>152.30739440336993</v>
      </c>
    </row>
    <row r="58" spans="1:46">
      <c r="D58" s="13"/>
      <c r="Y58" s="24">
        <v>56</v>
      </c>
      <c r="Z58" s="24">
        <f t="shared" si="1"/>
        <v>31.324081887463471</v>
      </c>
      <c r="AA58" s="24" t="str">
        <f t="shared" si="10"/>
        <v>196.815011076201i</v>
      </c>
      <c r="AB58" s="24">
        <f t="shared" si="2"/>
        <v>8.870967741935484</v>
      </c>
      <c r="AD58" s="24" t="str">
        <f t="shared" si="3"/>
        <v>0.999925855864018-0.00859661367416685i</v>
      </c>
      <c r="AE58" s="24" t="str">
        <f t="shared" si="4"/>
        <v>0.999999993619117-0.0000858025680837149i</v>
      </c>
      <c r="AF58" s="24" t="str">
        <f t="shared" si="19"/>
        <v>7.06751868144282-0.0613676893540191i</v>
      </c>
      <c r="AG58" s="24">
        <f t="shared" si="5"/>
        <v>7.0677851060880386</v>
      </c>
      <c r="AH58" s="24">
        <f t="shared" si="20"/>
        <v>-8.6828418723121498E-3</v>
      </c>
      <c r="AI58" s="24">
        <f t="shared" si="0"/>
        <v>-0.49749019346295581</v>
      </c>
      <c r="AJ58" s="24">
        <f t="shared" si="21"/>
        <v>16.985666728808454</v>
      </c>
      <c r="AL58" s="24" t="str">
        <f t="shared" si="22"/>
        <v>0.765999068159914-0.423372762158901i</v>
      </c>
      <c r="AM58" s="24" t="str">
        <f t="shared" si="23"/>
        <v>1.00000027641752+0.00441222065997424i</v>
      </c>
      <c r="AN58" s="24" t="str">
        <f t="shared" si="24"/>
        <v>-258.134111581021+141.189177274583i</v>
      </c>
      <c r="AO58" s="24">
        <f t="shared" si="6"/>
        <v>294.22373007831402</v>
      </c>
      <c r="AP58" s="24">
        <f t="shared" si="7"/>
        <v>2.6410859832633964</v>
      </c>
      <c r="AQ58" s="24">
        <f t="shared" si="8"/>
        <v>151.3230801721518</v>
      </c>
      <c r="AR58" s="24">
        <f t="shared" si="9"/>
        <v>49.373553940668856</v>
      </c>
      <c r="AS58" s="24">
        <f t="shared" si="25"/>
        <v>66.35922066947731</v>
      </c>
      <c r="AT58" s="24">
        <f t="shared" si="26"/>
        <v>150.82558997868884</v>
      </c>
    </row>
    <row r="59" spans="1:46">
      <c r="D59" s="13"/>
      <c r="Y59" s="24">
        <v>57</v>
      </c>
      <c r="Z59" s="24">
        <f t="shared" si="1"/>
        <v>33.311214272052936</v>
      </c>
      <c r="AA59" s="24" t="str">
        <f t="shared" si="10"/>
        <v>209.300532078474i</v>
      </c>
      <c r="AB59" s="24">
        <f t="shared" si="2"/>
        <v>8.870967741935484</v>
      </c>
      <c r="AD59" s="24" t="str">
        <f t="shared" si="3"/>
        <v>0.999916151208628-0.00914187534588678i</v>
      </c>
      <c r="AE59" s="24" t="str">
        <f t="shared" si="4"/>
        <v>0.999999992783859-0.0000912456983983532i</v>
      </c>
      <c r="AF59" s="24" t="str">
        <f t="shared" si="19"/>
        <v>7.06744940018343-0.0652600881356335i</v>
      </c>
      <c r="AG59" s="24">
        <f t="shared" si="5"/>
        <v>7.0677506961731886</v>
      </c>
      <c r="AH59" s="24">
        <f t="shared" si="20"/>
        <v>-9.2336329188569422E-3</v>
      </c>
      <c r="AI59" s="24">
        <f t="shared" si="0"/>
        <v>-0.5290481958235661</v>
      </c>
      <c r="AJ59" s="24">
        <f t="shared" si="21"/>
        <v>16.985624440956471</v>
      </c>
      <c r="AL59" s="24" t="str">
        <f t="shared" si="22"/>
        <v>0.743233285722287-0.436849595074484i</v>
      </c>
      <c r="AM59" s="24" t="str">
        <f t="shared" si="23"/>
        <v>1.00000031260059+0.00469212244663724i</v>
      </c>
      <c r="AN59" s="24" t="str">
        <f t="shared" si="24"/>
        <v>-250.542035395813+145.683526868175i</v>
      </c>
      <c r="AO59" s="24">
        <f t="shared" si="6"/>
        <v>289.81891156552757</v>
      </c>
      <c r="AP59" s="24">
        <f t="shared" si="7"/>
        <v>2.614907057677609</v>
      </c>
      <c r="AQ59" s="24">
        <f t="shared" si="8"/>
        <v>149.82313822389912</v>
      </c>
      <c r="AR59" s="24">
        <f t="shared" si="9"/>
        <v>49.242534421914925</v>
      </c>
      <c r="AS59" s="24">
        <f t="shared" si="25"/>
        <v>66.228158862871396</v>
      </c>
      <c r="AT59" s="24">
        <f t="shared" si="26"/>
        <v>149.29409002807554</v>
      </c>
    </row>
    <row r="60" spans="1:46">
      <c r="D60" s="13"/>
      <c r="Y60" s="24">
        <v>58</v>
      </c>
      <c r="Z60" s="24">
        <f t="shared" si="1"/>
        <v>35.424406061290533</v>
      </c>
      <c r="AA60" s="24" t="str">
        <f t="shared" si="10"/>
        <v>222.578107679864i</v>
      </c>
      <c r="AB60" s="24">
        <f t="shared" si="2"/>
        <v>8.870967741935484</v>
      </c>
      <c r="AD60" s="24" t="str">
        <f t="shared" si="3"/>
        <v>0.999905176440974-0.0097217092102832i</v>
      </c>
      <c r="AE60" s="24" t="str">
        <f t="shared" si="4"/>
        <v>0.999999991839267-0.0000970341291802563i</v>
      </c>
      <c r="AF60" s="24" t="str">
        <f t="shared" si="19"/>
        <v>7.06737105162866-0.0693992835725676i</v>
      </c>
      <c r="AG60" s="24">
        <f t="shared" si="5"/>
        <v>7.0677117826039844</v>
      </c>
      <c r="AH60" s="24">
        <f t="shared" si="20"/>
        <v>-9.8193589331441802E-3</v>
      </c>
      <c r="AI60" s="24">
        <f t="shared" si="0"/>
        <v>-0.56260782439324419</v>
      </c>
      <c r="AJ60" s="24">
        <f t="shared" si="21"/>
        <v>16.985576618118266</v>
      </c>
      <c r="AL60" s="24" t="str">
        <f t="shared" si="22"/>
        <v>0.719064953140915-0.449455833542484i</v>
      </c>
      <c r="AM60" s="24" t="str">
        <f t="shared" si="23"/>
        <v>1.00000035352003+0.00498978060015816i</v>
      </c>
      <c r="AN60" s="24" t="str">
        <f t="shared" si="24"/>
        <v>-242.482227975088+149.88754583138i</v>
      </c>
      <c r="AO60" s="24">
        <f t="shared" si="6"/>
        <v>285.06825021232476</v>
      </c>
      <c r="AP60" s="24">
        <f t="shared" si="7"/>
        <v>2.5879428368299275</v>
      </c>
      <c r="AQ60" s="24">
        <f t="shared" si="8"/>
        <v>148.27820217146831</v>
      </c>
      <c r="AR60" s="24">
        <f t="shared" si="9"/>
        <v>49.098976999613996</v>
      </c>
      <c r="AS60" s="24">
        <f t="shared" si="25"/>
        <v>66.084553617732269</v>
      </c>
      <c r="AT60" s="24">
        <f t="shared" si="26"/>
        <v>147.71559434707507</v>
      </c>
    </row>
    <row r="61" spans="1:46">
      <c r="D61" s="13"/>
      <c r="Y61" s="24">
        <v>59</v>
      </c>
      <c r="Z61" s="24">
        <f t="shared" si="1"/>
        <v>37.67165419268462</v>
      </c>
      <c r="AA61" s="24" t="str">
        <f t="shared" si="10"/>
        <v>236.697984120626i</v>
      </c>
      <c r="AB61" s="24">
        <f t="shared" si="2"/>
        <v>8.870967741935484</v>
      </c>
      <c r="AD61" s="24" t="str">
        <f t="shared" si="3"/>
        <v>0.999892765366789-0.0103383047990447i</v>
      </c>
      <c r="AE61" s="24" t="str">
        <f t="shared" si="4"/>
        <v>0.999999990771026-0.000103189765545763i</v>
      </c>
      <c r="AF61" s="24" t="str">
        <f t="shared" si="19"/>
        <v>7.06728244932232-0.0738009058290318i</v>
      </c>
      <c r="AG61" s="24">
        <f t="shared" si="5"/>
        <v>7.0676677760206355</v>
      </c>
      <c r="AH61" s="24">
        <f t="shared" si="20"/>
        <v>-1.0442234892289303E-2</v>
      </c>
      <c r="AI61" s="24">
        <f t="shared" si="0"/>
        <v>-0.59829598801242279</v>
      </c>
      <c r="AJ61" s="24">
        <f t="shared" si="21"/>
        <v>16.98552253590212</v>
      </c>
      <c r="AL61" s="24" t="str">
        <f t="shared" si="22"/>
        <v>0.69355970136302-0.461014795866964i</v>
      </c>
      <c r="AM61" s="24" t="str">
        <f t="shared" si="23"/>
        <v>1.00000039979582+0.00530632154616191i</v>
      </c>
      <c r="AN61" s="24" t="str">
        <f t="shared" si="24"/>
        <v>-233.976576339515+153.742313284923i</v>
      </c>
      <c r="AO61" s="24">
        <f t="shared" si="6"/>
        <v>279.96738590371609</v>
      </c>
      <c r="AP61" s="24">
        <f t="shared" si="7"/>
        <v>2.5602534318708123</v>
      </c>
      <c r="AQ61" s="24">
        <f t="shared" si="8"/>
        <v>146.6917161300824</v>
      </c>
      <c r="AR61" s="24">
        <f t="shared" si="9"/>
        <v>48.942148844914151</v>
      </c>
      <c r="AS61" s="24">
        <f t="shared" si="25"/>
        <v>65.927671380816264</v>
      </c>
      <c r="AT61" s="24">
        <f t="shared" si="26"/>
        <v>146.09342014206999</v>
      </c>
    </row>
    <row r="62" spans="1:46">
      <c r="D62" s="13"/>
      <c r="Y62" s="24">
        <v>60</v>
      </c>
      <c r="Z62" s="24">
        <f t="shared" si="1"/>
        <v>40.061462912259522</v>
      </c>
      <c r="AA62" s="24" t="str">
        <f t="shared" si="10"/>
        <v>251.713595154429i</v>
      </c>
      <c r="AB62" s="24">
        <f t="shared" si="2"/>
        <v>8.870967741935484</v>
      </c>
      <c r="AD62" s="24" t="str">
        <f t="shared" si="3"/>
        <v>0.999878730054676-0.010993989802904i</v>
      </c>
      <c r="AE62" s="24" t="str">
        <f t="shared" si="4"/>
        <v>0.999999989562953-0.000109735902224144i</v>
      </c>
      <c r="AF62" s="24" t="str">
        <f t="shared" si="19"/>
        <v>7.06718225162751-0.0784815713294181i</v>
      </c>
      <c r="AG62" s="24">
        <f t="shared" si="5"/>
        <v>7.0676180099632733</v>
      </c>
      <c r="AH62" s="24">
        <f t="shared" si="20"/>
        <v>-1.1104616039200854E-2</v>
      </c>
      <c r="AI62" s="24">
        <f t="shared" si="0"/>
        <v>-0.63624763215948965</v>
      </c>
      <c r="AJ62" s="24">
        <f t="shared" si="21"/>
        <v>16.98546137513204</v>
      </c>
      <c r="AL62" s="24" t="str">
        <f t="shared" si="22"/>
        <v>0.666811842428945-0.471353168256522i</v>
      </c>
      <c r="AM62" s="24" t="str">
        <f t="shared" si="23"/>
        <v>1.00000045212912+0.00564294316827236i</v>
      </c>
      <c r="AN62" s="24" t="str">
        <f t="shared" si="24"/>
        <v>-225.056532260926+157.190031502223i</v>
      </c>
      <c r="AO62" s="24">
        <f t="shared" si="6"/>
        <v>274.51620847772011</v>
      </c>
      <c r="AP62" s="24">
        <f t="shared" si="7"/>
        <v>2.5319098161770794</v>
      </c>
      <c r="AQ62" s="24">
        <f t="shared" si="8"/>
        <v>145.06774657469074</v>
      </c>
      <c r="AR62" s="24">
        <f t="shared" si="9"/>
        <v>48.771359838718034</v>
      </c>
      <c r="AS62" s="24">
        <f t="shared" si="25"/>
        <v>65.756821213850074</v>
      </c>
      <c r="AT62" s="24">
        <f t="shared" si="26"/>
        <v>144.43149894253125</v>
      </c>
    </row>
    <row r="63" spans="1:46">
      <c r="D63" s="13"/>
      <c r="Y63" s="24">
        <v>61</v>
      </c>
      <c r="Z63" s="24">
        <f t="shared" si="1"/>
        <v>42.602875957116908</v>
      </c>
      <c r="AA63" s="24" t="str">
        <f t="shared" si="10"/>
        <v>267.681764257351i</v>
      </c>
      <c r="AB63" s="24">
        <f t="shared" si="2"/>
        <v>8.870967741935484</v>
      </c>
      <c r="AD63" s="24" t="str">
        <f t="shared" si="3"/>
        <v>0.999862857995656-0.0116912386862712i</v>
      </c>
      <c r="AE63" s="24" t="str">
        <f t="shared" si="4"/>
        <v>0.999999988196742-0.000116697311711547i</v>
      </c>
      <c r="AF63" s="24" t="str">
        <f t="shared" si="19"/>
        <v>7.06706894144867-0.083458944254539i</v>
      </c>
      <c r="AG63" s="24">
        <f t="shared" si="5"/>
        <v>7.0675617307926286</v>
      </c>
      <c r="AH63" s="24">
        <f t="shared" si="20"/>
        <v>-1.1809006730588873E-2</v>
      </c>
      <c r="AI63" s="24">
        <f t="shared" si="0"/>
        <v>-0.67660624590432528</v>
      </c>
      <c r="AJ63" s="24">
        <f t="shared" si="21"/>
        <v>16.98539220945122</v>
      </c>
      <c r="AL63" s="24" t="str">
        <f t="shared" si="22"/>
        <v>0.638944685566498-0.480306542067487i</v>
      </c>
      <c r="AM63" s="24" t="str">
        <f t="shared" si="23"/>
        <v>1.00000051131284+0.00600091934124995i</v>
      </c>
      <c r="AN63" s="24" t="str">
        <f t="shared" si="24"/>
        <v>-215.763217675431+160.175872504213i</v>
      </c>
      <c r="AO63" s="24">
        <f t="shared" si="6"/>
        <v>268.71932612698578</v>
      </c>
      <c r="AP63" s="24">
        <f t="shared" si="7"/>
        <v>2.5029934545181631</v>
      </c>
      <c r="AQ63" s="24">
        <f t="shared" si="8"/>
        <v>143.41096109276091</v>
      </c>
      <c r="AR63" s="24">
        <f t="shared" si="9"/>
        <v>48.585978034914291</v>
      </c>
      <c r="AS63" s="24">
        <f t="shared" si="25"/>
        <v>65.571370244365511</v>
      </c>
      <c r="AT63" s="24">
        <f t="shared" si="26"/>
        <v>142.73435484685658</v>
      </c>
    </row>
    <row r="64" spans="1:46">
      <c r="C64" s="23"/>
      <c r="D64" s="13"/>
      <c r="Y64" s="24">
        <v>62</v>
      </c>
      <c r="Z64" s="24">
        <f t="shared" si="1"/>
        <v>45.305510779589277</v>
      </c>
      <c r="AA64" s="24" t="str">
        <f t="shared" si="10"/>
        <v>284.662919664582i</v>
      </c>
      <c r="AB64" s="24">
        <f t="shared" si="2"/>
        <v>8.870967741935484</v>
      </c>
      <c r="AD64" s="24" t="str">
        <f t="shared" si="3"/>
        <v>0.999844908892269-0.0124326818180267i</v>
      </c>
      <c r="AE64" s="24" t="str">
        <f t="shared" si="4"/>
        <v>0.999999986651695-0.000124100338017223i</v>
      </c>
      <c r="AF64" s="24" t="str">
        <f t="shared" si="19"/>
        <v>7.06694080330905-0.0887518017225025i</v>
      </c>
      <c r="AG64" s="24">
        <f t="shared" si="5"/>
        <v>7.0674980862949903</v>
      </c>
      <c r="AH64" s="24">
        <f t="shared" si="20"/>
        <v>-1.2558069836117274E-2</v>
      </c>
      <c r="AI64" s="24">
        <f t="shared" si="0"/>
        <v>-0.71952440044006516</v>
      </c>
      <c r="AJ64" s="24">
        <f t="shared" si="21"/>
        <v>16.985313991305741</v>
      </c>
      <c r="AL64" s="24" t="str">
        <f t="shared" si="22"/>
        <v>0.610109587386432-0.487725208253161i</v>
      </c>
      <c r="AM64" s="24" t="str">
        <f t="shared" si="23"/>
        <v>1.00000057824373+0.00638160475170119i</v>
      </c>
      <c r="AN64" s="24" t="str">
        <f t="shared" si="24"/>
        <v>-206.147107936656+162.649910428882i</v>
      </c>
      <c r="AO64" s="24">
        <f t="shared" si="6"/>
        <v>262.58641144044492</v>
      </c>
      <c r="AP64" s="24">
        <f t="shared" si="7"/>
        <v>2.4735955824458973</v>
      </c>
      <c r="AQ64" s="24">
        <f t="shared" si="8"/>
        <v>141.72658709635456</v>
      </c>
      <c r="AR64" s="24">
        <f t="shared" si="9"/>
        <v>48.385444961411508</v>
      </c>
      <c r="AS64" s="24">
        <f t="shared" si="25"/>
        <v>65.370758952717253</v>
      </c>
      <c r="AT64" s="24">
        <f t="shared" si="26"/>
        <v>141.0070626959145</v>
      </c>
    </row>
    <row r="65" spans="3:46">
      <c r="C65" s="23"/>
      <c r="D65" s="13"/>
      <c r="Y65" s="24">
        <v>63</v>
      </c>
      <c r="Z65" s="24">
        <f t="shared" si="1"/>
        <v>48.179594942500358</v>
      </c>
      <c r="AA65" s="24" t="str">
        <f t="shared" si="10"/>
        <v>302.721323048582i</v>
      </c>
      <c r="AB65" s="24">
        <f t="shared" si="2"/>
        <v>8.870967741935484</v>
      </c>
      <c r="AD65" s="24" t="str">
        <f t="shared" si="3"/>
        <v>0.999824611029144-0.0132211151450837i</v>
      </c>
      <c r="AE65" s="24" t="str">
        <f t="shared" si="4"/>
        <v>0.999999984904401-0.000131972996356771i</v>
      </c>
      <c r="AF65" s="24" t="str">
        <f t="shared" si="19"/>
        <v>7.06679589744032-0.0943801028441736i</v>
      </c>
      <c r="AG65" s="24">
        <f t="shared" si="5"/>
        <v>7.067426112800347</v>
      </c>
      <c r="AH65" s="24">
        <f t="shared" si="20"/>
        <v>-1.3354636721607062E-2</v>
      </c>
      <c r="AI65" s="24">
        <f t="shared" si="0"/>
        <v>-0.76516432107851085</v>
      </c>
      <c r="AJ65" s="24">
        <f t="shared" si="21"/>
        <v>16.985225536097559</v>
      </c>
      <c r="AL65" s="24" t="str">
        <f t="shared" si="22"/>
        <v>0.580483631162082-0.493479873059648i</v>
      </c>
      <c r="AM65" s="24" t="str">
        <f t="shared" si="23"/>
        <v>1.00000065393586+0.00678644002460232i</v>
      </c>
      <c r="AN65" s="24" t="str">
        <f t="shared" si="24"/>
        <v>-196.267257887311+164.569027637614i</v>
      </c>
      <c r="AO65" s="24">
        <f t="shared" si="6"/>
        <v>256.13239033006738</v>
      </c>
      <c r="AP65" s="24">
        <f t="shared" si="7"/>
        <v>2.4438161301580474</v>
      </c>
      <c r="AQ65" s="24">
        <f t="shared" si="8"/>
        <v>140.02035016404957</v>
      </c>
      <c r="AR65" s="24">
        <f t="shared" si="9"/>
        <v>48.169290050596999</v>
      </c>
      <c r="AS65" s="24">
        <f t="shared" si="25"/>
        <v>65.154515586694558</v>
      </c>
      <c r="AT65" s="24">
        <f t="shared" si="26"/>
        <v>139.25518584297106</v>
      </c>
    </row>
    <row r="66" spans="3:46">
      <c r="C66" s="23"/>
      <c r="D66" s="13"/>
      <c r="Y66" s="24">
        <v>64</v>
      </c>
      <c r="Z66" s="24">
        <f t="shared" si="1"/>
        <v>51.236004823262483</v>
      </c>
      <c r="AA66" s="24" t="str">
        <f t="shared" si="10"/>
        <v>321.925312704105i</v>
      </c>
      <c r="AB66" s="24">
        <f t="shared" si="2"/>
        <v>8.870967741935484</v>
      </c>
      <c r="AD66" s="24" t="str">
        <f t="shared" si="3"/>
        <v>0.999801657170707-0.0140595104357805i</v>
      </c>
      <c r="AE66" s="24" t="str">
        <f t="shared" si="4"/>
        <v>0.999999982928386-0.000140345079169697i</v>
      </c>
      <c r="AF66" s="24" t="str">
        <f t="shared" si="19"/>
        <v>7.06663203049646-0.100365061846394i</v>
      </c>
      <c r="AG66" s="24">
        <f t="shared" si="5"/>
        <v>7.0673447206201816</v>
      </c>
      <c r="AH66" s="24">
        <f t="shared" si="20"/>
        <v>-1.4201717850871423E-2</v>
      </c>
      <c r="AI66" s="24">
        <f t="shared" ref="AI66:AI129" si="27">AH66/(PI())*180</f>
        <v>-0.81369849469053435</v>
      </c>
      <c r="AJ66" s="24">
        <f t="shared" si="21"/>
        <v>16.985125504267874</v>
      </c>
      <c r="AL66" s="24" t="str">
        <f t="shared" si="22"/>
        <v>0.55026593289556-0.497466919493286i</v>
      </c>
      <c r="AM66" s="24" t="str">
        <f t="shared" si="23"/>
        <v>1.00000073953611+0.00721695717503778i</v>
      </c>
      <c r="AN66" s="24" t="str">
        <f t="shared" si="24"/>
        <v>-186.190069982955+165.89866934264i</v>
      </c>
      <c r="AO66" s="24">
        <f t="shared" si="6"/>
        <v>249.37744615324834</v>
      </c>
      <c r="AP66" s="24">
        <f t="shared" si="7"/>
        <v>2.4137623071269534</v>
      </c>
      <c r="AQ66" s="24">
        <f t="shared" si="8"/>
        <v>138.29839294613481</v>
      </c>
      <c r="AR66" s="24">
        <f t="shared" si="9"/>
        <v>47.937143461269883</v>
      </c>
      <c r="AS66" s="24">
        <f t="shared" si="25"/>
        <v>64.922268965537754</v>
      </c>
      <c r="AT66" s="24">
        <f t="shared" si="26"/>
        <v>137.48469445144428</v>
      </c>
    </row>
    <row r="67" spans="3:46">
      <c r="C67" s="23"/>
      <c r="D67" s="13"/>
      <c r="Y67" s="24">
        <v>65</v>
      </c>
      <c r="Z67" s="24">
        <f t="shared" ref="Z67:Z130" si="28">10^(LOG($G$6/$G$5,10)*Y67/200)</f>
        <v>54.486306773278585</v>
      </c>
      <c r="AA67" s="24" t="str">
        <f t="shared" si="10"/>
        <v>342.347562160344i</v>
      </c>
      <c r="AB67" s="24">
        <f t="shared" ref="AB67:AB130" si="29">$B$23/$G$3</f>
        <v>8.870967741935484</v>
      </c>
      <c r="AD67" s="24" t="str">
        <f t="shared" ref="AD67:AD130" si="30">IMDIV(IMSUM(1,IMDIV(AA67,$G$12)),IMSUM(1,IMDIV(AA67,$G$14)))</f>
        <v>0.999775699924795-0.0149510261203931i</v>
      </c>
      <c r="AE67" s="24" t="str">
        <f t="shared" ref="AE67:AE130" si="31">IMDIV(1,IMSUM(1,IMDIV(AA67,IMPRODUCT($G$10*$G$11)),IMDIV(IMPRODUCT(AA67,AA67),$G$10*$G$10)))</f>
        <v>0.999999980693712-0.000149248268862441i</v>
      </c>
      <c r="AF67" s="24" t="str">
        <f t="shared" si="19"/>
        <v>7.06644672245467-0.106729225457766i</v>
      </c>
      <c r="AG67" s="24">
        <f t="shared" ref="AG67:AG130" si="32">IMABS(AF67)</f>
        <v>7.0672526775867555</v>
      </c>
      <c r="AH67" s="24">
        <f t="shared" si="20"/>
        <v>-1.5102514042457138E-2</v>
      </c>
      <c r="AI67" s="24">
        <f t="shared" si="27"/>
        <v>-0.86531031466985375</v>
      </c>
      <c r="AJ67" s="24">
        <f t="shared" si="21"/>
        <v>16.985012381041539</v>
      </c>
      <c r="AL67" s="24" t="str">
        <f t="shared" si="22"/>
        <v>0.519672689413435-0.499612835394811i</v>
      </c>
      <c r="AM67" s="24" t="str">
        <f t="shared" si="23"/>
        <v>1.00000083634142+0.00767478540578351i</v>
      </c>
      <c r="AN67" s="24" t="str">
        <f t="shared" si="24"/>
        <v>-175.987642899804+166.614320309229i</v>
      </c>
      <c r="AO67" s="24">
        <f t="shared" ref="AO67:AO130" si="33">IMABS(AN67)</f>
        <v>242.34682210735775</v>
      </c>
      <c r="AP67" s="24">
        <f t="shared" ref="AP67:AP130" si="34">IMARGUMENT(AN67)</f>
        <v>2.3835468871968839</v>
      </c>
      <c r="AQ67" s="24">
        <f t="shared" ref="AQ67:AQ130" si="35">AP67/(PI())*180</f>
        <v>136.56717690792635</v>
      </c>
      <c r="AR67" s="24">
        <f t="shared" ref="AR67:AR130" si="36">20*LOG(AO67,10)</f>
        <v>47.688746583895792</v>
      </c>
      <c r="AS67" s="24">
        <f t="shared" si="25"/>
        <v>64.673758964937335</v>
      </c>
      <c r="AT67" s="24">
        <f t="shared" si="26"/>
        <v>135.70186659325651</v>
      </c>
    </row>
    <row r="68" spans="3:46">
      <c r="D68" s="13"/>
      <c r="Y68" s="24">
        <v>66</v>
      </c>
      <c r="Z68" s="24">
        <f t="shared" si="28"/>
        <v>57.94280088840825</v>
      </c>
      <c r="AA68" s="24" t="str">
        <f t="shared" ref="AA68:AA131" si="37">IMPRODUCT(COMPLEX(0,1),2*PI()*Z68)</f>
        <v>364.065355198879i</v>
      </c>
      <c r="AB68" s="24">
        <f t="shared" si="29"/>
        <v>8.870967741935484</v>
      </c>
      <c r="AD68" s="24" t="str">
        <f t="shared" si="30"/>
        <v>0.999746346503032-0.0158990187560028i</v>
      </c>
      <c r="AE68" s="24" t="str">
        <f t="shared" si="31"/>
        <v>0.999999978166517-0.00015871625770354i</v>
      </c>
      <c r="AF68" s="24" t="str">
        <f t="shared" si="19"/>
        <v>7.06623716920987-0.113496554751418i</v>
      </c>
      <c r="AG68" s="24">
        <f t="shared" si="32"/>
        <v>7.0671485904474629</v>
      </c>
      <c r="AH68" s="24">
        <f t="shared" ref="AH68:AH99" si="38">IMARGUMENT(AF68)</f>
        <v>-1.6060428419268913E-2</v>
      </c>
      <c r="AI68" s="24">
        <f t="shared" si="27"/>
        <v>-0.92019476559607294</v>
      </c>
      <c r="AJ68" s="24">
        <f t="shared" ref="AJ68:AJ99" si="39">20*LOG(AG68,10)</f>
        <v>16.984884453528018</v>
      </c>
      <c r="AL68" s="24" t="str">
        <f t="shared" ref="AL68:AL99" si="40">IMDIV(1,IMSUM(1,IMDIV(AA68,wp2e)))</f>
        <v>0.488931201988622-0.499877466696173i</v>
      </c>
      <c r="AM68" s="24" t="str">
        <f t="shared" ref="AM68:AM99" si="41">IMDIV(IMSUM(1,IMDIV(AA68,wz2e)),IMSUM(1,IMDIV(AA68,wp1e)))</f>
        <v>1.00000094581856+0.00816165727267475i</v>
      </c>
      <c r="AN68" s="24" t="str">
        <f t="shared" ref="AN68:AN99" si="42">IMPRODUCT($AK$2,AL68,AM68)</f>
        <v>-165.735778494623+166.702589772476i</v>
      </c>
      <c r="AO68" s="24">
        <f t="shared" si="33"/>
        <v>235.07041861975989</v>
      </c>
      <c r="AP68" s="24">
        <f t="shared" si="34"/>
        <v>2.3532862562325154</v>
      </c>
      <c r="AQ68" s="24">
        <f t="shared" si="35"/>
        <v>134.83337046826514</v>
      </c>
      <c r="AR68" s="24">
        <f t="shared" si="36"/>
        <v>47.423959614526865</v>
      </c>
      <c r="AS68" s="24">
        <f t="shared" ref="AS68:AS99" si="43">AR68+AJ68</f>
        <v>64.40884406805489</v>
      </c>
      <c r="AT68" s="24">
        <f t="shared" ref="AT68:AT99" si="44">AQ68+AI68</f>
        <v>133.91317570266907</v>
      </c>
    </row>
    <row r="69" spans="3:46">
      <c r="D69" s="13"/>
      <c r="Y69" s="24">
        <v>67</v>
      </c>
      <c r="Z69" s="24">
        <f t="shared" si="28"/>
        <v>61.61856755613799</v>
      </c>
      <c r="AA69" s="24" t="str">
        <f t="shared" si="37"/>
        <v>387.160878318179i</v>
      </c>
      <c r="AB69" s="24">
        <f t="shared" si="29"/>
        <v>8.870967741935484</v>
      </c>
      <c r="AD69" s="24" t="str">
        <f t="shared" si="30"/>
        <v>0.999713152800046-0.0169070551425349i</v>
      </c>
      <c r="AE69" s="24" t="str">
        <f t="shared" si="31"/>
        <v>0.999999975308513-0.000168784875324636i</v>
      </c>
      <c r="AF69" s="24" t="str">
        <f t="shared" si="19"/>
        <v>7.06600020030643-0.120692511636162i</v>
      </c>
      <c r="AG69" s="24">
        <f t="shared" si="32"/>
        <v>7.0670308838362628</v>
      </c>
      <c r="AH69" s="24">
        <f t="shared" si="38"/>
        <v>-1.7079079090737366E-2</v>
      </c>
      <c r="AI69" s="24">
        <f t="shared" si="27"/>
        <v>-0.97855914986938264</v>
      </c>
      <c r="AJ69" s="24">
        <f t="shared" si="39"/>
        <v>16.984739784835163</v>
      </c>
      <c r="AL69" s="24" t="str">
        <f t="shared" si="40"/>
        <v>0.458273211760714-0.498255833024796i</v>
      </c>
      <c r="AM69" s="24" t="str">
        <f t="shared" si="41"/>
        <v>1.00000106962627+0.00867941524108976i</v>
      </c>
      <c r="AN69" s="24" t="str">
        <f t="shared" si="42"/>
        <v>-155.511759258804+166.161816916652i</v>
      </c>
      <c r="AO69" s="24">
        <f t="shared" si="33"/>
        <v>227.58219760959153</v>
      </c>
      <c r="AP69" s="24">
        <f t="shared" si="34"/>
        <v>2.3230983031821242</v>
      </c>
      <c r="AQ69" s="24">
        <f t="shared" si="35"/>
        <v>133.10372816633864</v>
      </c>
      <c r="AR69" s="24">
        <f t="shared" si="36"/>
        <v>47.142765735980454</v>
      </c>
      <c r="AS69" s="24">
        <f t="shared" si="43"/>
        <v>64.127505520815618</v>
      </c>
      <c r="AT69" s="24">
        <f t="shared" si="44"/>
        <v>132.12516901646927</v>
      </c>
    </row>
    <row r="70" spans="3:46">
      <c r="D70" s="13"/>
      <c r="Y70" s="24">
        <v>68</v>
      </c>
      <c r="Z70" s="24">
        <f t="shared" si="28"/>
        <v>65.527516955603716</v>
      </c>
      <c r="AA70" s="24" t="str">
        <f t="shared" si="37"/>
        <v>411.72153175141i</v>
      </c>
      <c r="AB70" s="24">
        <f t="shared" si="29"/>
        <v>8.870967741935484</v>
      </c>
      <c r="AD70" s="24" t="str">
        <f t="shared" si="30"/>
        <v>0.999675616703671-0.0179789251159136i</v>
      </c>
      <c r="AE70" s="24" t="str">
        <f t="shared" si="31"/>
        <v>0.999999972076396-0.000179492224309787i</v>
      </c>
      <c r="AF70" s="24" t="str">
        <f t="shared" si="19"/>
        <v>7.06573223117986-0.128344150181267i</v>
      </c>
      <c r="AG70" s="24">
        <f t="shared" si="32"/>
        <v>7.066897776508422</v>
      </c>
      <c r="AH70" s="24">
        <f t="shared" si="38"/>
        <v>-1.8162312608849481E-2</v>
      </c>
      <c r="AI70" s="24">
        <f t="shared" si="27"/>
        <v>-1.0406238586843148</v>
      </c>
      <c r="AJ70" s="24">
        <f t="shared" si="39"/>
        <v>16.984576184807533</v>
      </c>
      <c r="AL70" s="24" t="str">
        <f t="shared" si="40"/>
        <v>0.427927955219832-0.494778354782427i</v>
      </c>
      <c r="AM70" s="24" t="str">
        <f t="shared" si="41"/>
        <v>1.00000120964041+0.00923001865835985i</v>
      </c>
      <c r="AN70" s="24" t="str">
        <f t="shared" si="42"/>
        <v>-145.392032417484+165.002146603154i</v>
      </c>
      <c r="AO70" s="24">
        <f t="shared" si="33"/>
        <v>219.91942041151219</v>
      </c>
      <c r="AP70" s="24">
        <f t="shared" si="34"/>
        <v>2.2931002482843685</v>
      </c>
      <c r="AQ70" s="24">
        <f t="shared" si="35"/>
        <v>131.3849662270955</v>
      </c>
      <c r="AR70" s="24">
        <f t="shared" si="36"/>
        <v>46.845271645437435</v>
      </c>
      <c r="AS70" s="24">
        <f t="shared" si="43"/>
        <v>63.829847830244972</v>
      </c>
      <c r="AT70" s="24">
        <f t="shared" si="44"/>
        <v>130.34434236841119</v>
      </c>
    </row>
    <row r="71" spans="3:46">
      <c r="D71" s="13"/>
      <c r="Y71" s="24">
        <v>69</v>
      </c>
      <c r="Z71" s="24">
        <f t="shared" si="28"/>
        <v>69.684441697788372</v>
      </c>
      <c r="AA71" s="24" t="str">
        <f t="shared" si="37"/>
        <v>437.840260214556i</v>
      </c>
      <c r="AB71" s="24">
        <f t="shared" si="29"/>
        <v>8.870967741935484</v>
      </c>
      <c r="AD71" s="24" t="str">
        <f t="shared" si="30"/>
        <v>0.999633170537133-0.01911865504283i</v>
      </c>
      <c r="AE71" s="24" t="str">
        <f t="shared" si="31"/>
        <v>0.999999968421194-0.000190878824386213i</v>
      </c>
      <c r="AF71" s="24" t="str">
        <f t="shared" si="19"/>
        <v>7.06542920920177-0.136480212949683i</v>
      </c>
      <c r="AG71" s="24">
        <f t="shared" si="32"/>
        <v>7.0667472544847918</v>
      </c>
      <c r="AH71" s="24">
        <f t="shared" si="38"/>
        <v>-1.9314218240930617E-2</v>
      </c>
      <c r="AI71" s="24">
        <f t="shared" si="27"/>
        <v>-1.1066231897999133</v>
      </c>
      <c r="AJ71" s="24">
        <f t="shared" si="39"/>
        <v>16.984391176951096</v>
      </c>
      <c r="AL71" s="24" t="str">
        <f t="shared" si="40"/>
        <v>0.398115377942461-0.489509472623557i</v>
      </c>
      <c r="AM71" s="24" t="str">
        <f t="shared" si="41"/>
        <v>1.00000136798241+0.00981555116849143i</v>
      </c>
      <c r="AN71" s="24" t="str">
        <f t="shared" si="42"/>
        <v>-135.449946803533+163.245068985783i</v>
      </c>
      <c r="AO71" s="24">
        <f t="shared" si="33"/>
        <v>212.12175899056885</v>
      </c>
      <c r="AP71" s="24">
        <f t="shared" si="34"/>
        <v>2.2634065074349761</v>
      </c>
      <c r="AQ71" s="24">
        <f t="shared" si="35"/>
        <v>129.68364019847013</v>
      </c>
      <c r="AR71" s="24">
        <f t="shared" si="36"/>
        <v>46.531704395776657</v>
      </c>
      <c r="AS71" s="24">
        <f t="shared" si="43"/>
        <v>63.51609557272775</v>
      </c>
      <c r="AT71" s="24">
        <f t="shared" si="44"/>
        <v>128.57701700867023</v>
      </c>
    </row>
    <row r="72" spans="3:46">
      <c r="D72" s="13"/>
      <c r="Y72" s="24">
        <v>70</v>
      </c>
      <c r="Z72" s="24">
        <f t="shared" si="28"/>
        <v>74.105072805100434</v>
      </c>
      <c r="AA72" s="24" t="str">
        <f t="shared" si="37"/>
        <v>465.615904636481i</v>
      </c>
      <c r="AB72" s="24">
        <f t="shared" si="29"/>
        <v>8.870967741935484</v>
      </c>
      <c r="AD72" s="24" t="str">
        <f t="shared" si="30"/>
        <v>0.999585172521748-0.0203305220394652i</v>
      </c>
      <c r="AE72" s="24" t="str">
        <f t="shared" si="31"/>
        <v>0.999999964287527-0.000202987765762087i</v>
      </c>
      <c r="AF72" s="24" t="str">
        <f t="shared" si="19"/>
        <v>7.06508655273236-0.145131232499218i</v>
      </c>
      <c r="AG72" s="24">
        <f t="shared" si="32"/>
        <v>7.0665770407069344</v>
      </c>
      <c r="AH72" s="24">
        <f t="shared" si="38"/>
        <v>-2.0539143103546403E-2</v>
      </c>
      <c r="AI72" s="24">
        <f t="shared" si="27"/>
        <v>-1.1768062146484402</v>
      </c>
      <c r="AJ72" s="24">
        <f t="shared" si="39"/>
        <v>16.984181961049934</v>
      </c>
      <c r="AL72" s="24" t="str">
        <f t="shared" si="40"/>
        <v>0.369039927807214-0.482544774597405i</v>
      </c>
      <c r="AM72" s="24" t="str">
        <f t="shared" si="41"/>
        <v>1.00000154705138+0.0104382285972583i</v>
      </c>
      <c r="AN72" s="24" t="str">
        <f t="shared" si="42"/>
        <v>-125.753682980135+160.922461452293i</v>
      </c>
      <c r="AO72" s="24">
        <f t="shared" si="33"/>
        <v>204.23032924356022</v>
      </c>
      <c r="AP72" s="24">
        <f t="shared" si="34"/>
        <v>2.234126688739051</v>
      </c>
      <c r="AQ72" s="24">
        <f t="shared" si="35"/>
        <v>128.00603016228538</v>
      </c>
      <c r="AR72" s="24">
        <f t="shared" si="36"/>
        <v>46.202404749633757</v>
      </c>
      <c r="AS72" s="24">
        <f t="shared" si="43"/>
        <v>63.186586710683692</v>
      </c>
      <c r="AT72" s="24">
        <f t="shared" si="44"/>
        <v>126.82922394763695</v>
      </c>
    </row>
    <row r="73" spans="3:46">
      <c r="D73" s="13"/>
      <c r="Y73" s="24">
        <v>71</v>
      </c>
      <c r="Z73" s="24">
        <f t="shared" si="28"/>
        <v>78.806139242176371</v>
      </c>
      <c r="AA73" s="24" t="str">
        <f t="shared" si="37"/>
        <v>495.153576201991i</v>
      </c>
      <c r="AB73" s="24">
        <f t="shared" si="29"/>
        <v>8.870967741935484</v>
      </c>
      <c r="AD73" s="24" t="str">
        <f t="shared" si="30"/>
        <v>0.99953089713465-0.0216190689334774i</v>
      </c>
      <c r="AE73" s="24" t="str">
        <f t="shared" si="31"/>
        <v>0.999999959612763-0.00021586487219162i</v>
      </c>
      <c r="AF73" s="24" t="str">
        <f t="shared" si="19"/>
        <v>7.06469908228451-0.154329638189483i</v>
      </c>
      <c r="AG73" s="24">
        <f t="shared" si="32"/>
        <v>7.0663845607534901</v>
      </c>
      <c r="AH73" s="24">
        <f t="shared" si="38"/>
        <v>-2.1841708203202238E-2</v>
      </c>
      <c r="AI73" s="24">
        <f t="shared" si="27"/>
        <v>-1.2514376973997567</v>
      </c>
      <c r="AJ73" s="24">
        <f t="shared" si="39"/>
        <v>16.983945370916828</v>
      </c>
      <c r="AL73" s="24" t="str">
        <f t="shared" si="40"/>
        <v>0.340885287811489-0.474006865314383i</v>
      </c>
      <c r="AM73" s="24" t="str">
        <f t="shared" si="41"/>
        <v>1.00000174956049+0.0111004073375029i</v>
      </c>
      <c r="AN73" s="24" t="str">
        <f t="shared" si="42"/>
        <v>-116.364496707395+158.075211048391i</v>
      </c>
      <c r="AO73" s="24">
        <f t="shared" si="33"/>
        <v>196.28669960534438</v>
      </c>
      <c r="AP73" s="24">
        <f t="shared" si="34"/>
        <v>2.2053638064037049</v>
      </c>
      <c r="AQ73" s="24">
        <f t="shared" si="35"/>
        <v>126.35803839783864</v>
      </c>
      <c r="AR73" s="24">
        <f t="shared" si="36"/>
        <v>45.857817455708485</v>
      </c>
      <c r="AS73" s="24">
        <f t="shared" si="43"/>
        <v>62.841762826625313</v>
      </c>
      <c r="AT73" s="24">
        <f t="shared" si="44"/>
        <v>125.10660070043889</v>
      </c>
    </row>
    <row r="74" spans="3:46">
      <c r="D74" s="13"/>
      <c r="Y74" s="24">
        <v>72</v>
      </c>
      <c r="Z74" s="24">
        <f t="shared" si="28"/>
        <v>83.805431223189501</v>
      </c>
      <c r="AA74" s="24" t="str">
        <f t="shared" si="37"/>
        <v>526.565054123394i</v>
      </c>
      <c r="AB74" s="24">
        <f t="shared" si="29"/>
        <v>8.870967741935484</v>
      </c>
      <c r="AD74" s="24" t="str">
        <f t="shared" si="30"/>
        <v>0.999469524220379-0.0229891199844498i</v>
      </c>
      <c r="AE74" s="24" t="str">
        <f t="shared" si="31"/>
        <v>0.999999954326071-0.000229558874384527i</v>
      </c>
      <c r="AF74" s="24" t="str">
        <f t="shared" si="19"/>
        <v>7.06426094279164-0.164109868403056i</v>
      </c>
      <c r="AG74" s="24">
        <f t="shared" si="32"/>
        <v>7.0661669041113591</v>
      </c>
      <c r="AH74" s="24">
        <f t="shared" si="38"/>
        <v>-2.3226825430613728E-2</v>
      </c>
      <c r="AI74" s="24">
        <f t="shared" si="27"/>
        <v>-1.3307990686612976</v>
      </c>
      <c r="AJ74" s="24">
        <f t="shared" si="39"/>
        <v>16.983677826648208</v>
      </c>
      <c r="AL74" s="24" t="str">
        <f t="shared" si="40"/>
        <v>0.31381031302949-0.464040300475965i</v>
      </c>
      <c r="AM74" s="24" t="str">
        <f t="shared" si="41"/>
        <v>1.00000197857806+0.0118045932663781i</v>
      </c>
      <c r="AN74" s="24" t="str">
        <f t="shared" si="42"/>
        <v>-107.335363973563+154.751525213265i</v>
      </c>
      <c r="AO74" s="24">
        <f t="shared" si="33"/>
        <v>188.33192749815163</v>
      </c>
      <c r="AP74" s="24">
        <f t="shared" si="34"/>
        <v>2.1772127797915237</v>
      </c>
      <c r="AQ74" s="24">
        <f t="shared" si="35"/>
        <v>124.7451033840002</v>
      </c>
      <c r="AR74" s="24">
        <f t="shared" si="36"/>
        <v>45.498479024961114</v>
      </c>
      <c r="AS74" s="24">
        <f t="shared" si="43"/>
        <v>62.482156851609318</v>
      </c>
      <c r="AT74" s="24">
        <f t="shared" si="44"/>
        <v>123.41430431533891</v>
      </c>
    </row>
    <row r="75" spans="3:46">
      <c r="D75" s="13"/>
      <c r="Y75" s="24">
        <v>73</v>
      </c>
      <c r="Z75" s="24">
        <f t="shared" si="28"/>
        <v>89.121867535237712</v>
      </c>
      <c r="AA75" s="24" t="str">
        <f t="shared" si="37"/>
        <v>559.969208645811i</v>
      </c>
      <c r="AB75" s="24">
        <f t="shared" si="29"/>
        <v>8.870967741935484</v>
      </c>
      <c r="AD75" s="24" t="str">
        <f t="shared" si="30"/>
        <v>0.999400126697708-0.0244457973725611i</v>
      </c>
      <c r="AE75" s="24" t="str">
        <f t="shared" si="31"/>
        <v>0.999999948347351-0.000244121594416031i</v>
      </c>
      <c r="AF75" s="24" t="str">
        <f t="shared" si="19"/>
        <v>7.06376551584722-0.174508488250564i</v>
      </c>
      <c r="AG75" s="24">
        <f t="shared" si="32"/>
        <v>7.0659207804322177</v>
      </c>
      <c r="AH75" s="24">
        <f t="shared" si="38"/>
        <v>-2.4699715556130455E-2</v>
      </c>
      <c r="AI75" s="24">
        <f t="shared" si="27"/>
        <v>-1.4151894565398999</v>
      </c>
      <c r="AJ75" s="24">
        <f t="shared" si="39"/>
        <v>16.983375280674494</v>
      </c>
      <c r="AL75" s="24" t="str">
        <f t="shared" si="40"/>
        <v>0.287946320679315-0.452805959641169i</v>
      </c>
      <c r="AM75" s="24" t="str">
        <f t="shared" si="41"/>
        <v>1.00000223757403+0.0125534512282728i</v>
      </c>
      <c r="AN75" s="24" t="str">
        <f t="shared" si="42"/>
        <v>-98.7100772695716+151.00505517475i</v>
      </c>
      <c r="AO75" s="24">
        <f t="shared" si="33"/>
        <v>180.40567076146496</v>
      </c>
      <c r="AP75" s="24">
        <f t="shared" si="34"/>
        <v>2.1497592638309198</v>
      </c>
      <c r="AQ75" s="24">
        <f t="shared" si="35"/>
        <v>123.17213278666256</v>
      </c>
      <c r="AR75" s="24">
        <f t="shared" si="36"/>
        <v>45.125003695349633</v>
      </c>
      <c r="AS75" s="24">
        <f t="shared" si="43"/>
        <v>62.108378976024127</v>
      </c>
      <c r="AT75" s="24">
        <f t="shared" si="44"/>
        <v>121.75694333012265</v>
      </c>
    </row>
    <row r="76" spans="3:46">
      <c r="D76" s="13"/>
      <c r="Y76" s="24">
        <v>74</v>
      </c>
      <c r="Z76" s="24">
        <f t="shared" si="28"/>
        <v>94.775567132582992</v>
      </c>
      <c r="AA76" s="24" t="str">
        <f t="shared" si="37"/>
        <v>595.492450887058i</v>
      </c>
      <c r="AB76" s="24">
        <f t="shared" si="29"/>
        <v>8.870967741935484</v>
      </c>
      <c r="AD76" s="24" t="str">
        <f t="shared" si="30"/>
        <v>0.999321656683492-0.02599453845819i</v>
      </c>
      <c r="AE76" s="24" t="str">
        <f t="shared" si="31"/>
        <v>0.999999941586017-0.000259608141835242i</v>
      </c>
      <c r="AF76" s="24" t="str">
        <f t="shared" ref="AF76:AF139" si="45">IMPRODUCT(AB76,AC$2,AD76,AE76)</f>
        <v>7.06320532064325-0.185564312778967i</v>
      </c>
      <c r="AG76" s="24">
        <f t="shared" si="32"/>
        <v>7.0656424701325102</v>
      </c>
      <c r="AH76" s="24">
        <f t="shared" si="38"/>
        <v>-2.6265927274307887E-2</v>
      </c>
      <c r="AI76" s="24">
        <f t="shared" si="27"/>
        <v>-1.5049267778154001</v>
      </c>
      <c r="AJ76" s="24">
        <f t="shared" si="39"/>
        <v>16.983033156805277</v>
      </c>
      <c r="AL76" s="24" t="str">
        <f t="shared" si="40"/>
        <v>0.263395762966202-0.440475237689538i</v>
      </c>
      <c r="AM76" s="24" t="str">
        <f t="shared" si="41"/>
        <v>1.0000025304726+0.013349815119307i</v>
      </c>
      <c r="AN76" s="24" t="str">
        <f t="shared" si="42"/>
        <v>-90.5228030004696+146.892958882293i</v>
      </c>
      <c r="AO76" s="24">
        <f t="shared" si="33"/>
        <v>172.5454120869542</v>
      </c>
      <c r="AP76" s="24">
        <f t="shared" si="34"/>
        <v>2.1230788336031501</v>
      </c>
      <c r="AQ76" s="24">
        <f t="shared" si="35"/>
        <v>121.64345673901808</v>
      </c>
      <c r="AR76" s="24">
        <f t="shared" si="36"/>
        <v>44.738068321311744</v>
      </c>
      <c r="AS76" s="24">
        <f t="shared" si="43"/>
        <v>61.721101478117021</v>
      </c>
      <c r="AT76" s="24">
        <f t="shared" si="44"/>
        <v>120.13852996120268</v>
      </c>
    </row>
    <row r="77" spans="3:46">
      <c r="D77" s="13"/>
      <c r="Y77" s="24">
        <v>75</v>
      </c>
      <c r="Z77" s="24">
        <f t="shared" si="28"/>
        <v>100.78792527267464</v>
      </c>
      <c r="AA77" s="24" t="str">
        <f t="shared" si="37"/>
        <v>633.269211214383i</v>
      </c>
      <c r="AB77" s="24">
        <f t="shared" si="29"/>
        <v>8.870967741935484</v>
      </c>
      <c r="AD77" s="24" t="str">
        <f t="shared" si="30"/>
        <v>0.999232929833628-0.0276411138061543i</v>
      </c>
      <c r="AE77" s="24" t="str">
        <f t="shared" si="31"/>
        <v>0.999999933939624-0.000276077122213995i</v>
      </c>
      <c r="AF77" s="24" t="str">
        <f t="shared" si="45"/>
        <v>7.06257190218078-0.197318535638088i</v>
      </c>
      <c r="AG77" s="24">
        <f t="shared" si="32"/>
        <v>7.0653277686162452</v>
      </c>
      <c r="AH77" s="24">
        <f t="shared" si="38"/>
        <v>-2.7931357345564949E-2</v>
      </c>
      <c r="AI77" s="24">
        <f t="shared" si="27"/>
        <v>-1.6003488919726014</v>
      </c>
      <c r="AJ77" s="24">
        <f t="shared" si="39"/>
        <v>16.982646281368773</v>
      </c>
      <c r="AL77" s="24" t="str">
        <f t="shared" si="40"/>
        <v>0.240232204292687-0.427224405100369i</v>
      </c>
      <c r="AM77" s="24" t="str">
        <f t="shared" si="41"/>
        <v>1.0000028617116+0.0141966986115562i</v>
      </c>
      <c r="AN77" s="24" t="str">
        <f t="shared" si="42"/>
        <v>-82.7980738853108+142.474020237828i</v>
      </c>
      <c r="AO77" s="24">
        <f t="shared" si="33"/>
        <v>164.78582306086409</v>
      </c>
      <c r="AP77" s="24">
        <f t="shared" si="34"/>
        <v>2.0972365232845016</v>
      </c>
      <c r="AQ77" s="24">
        <f t="shared" si="35"/>
        <v>120.16280142489215</v>
      </c>
      <c r="AR77" s="24">
        <f t="shared" si="36"/>
        <v>44.338396910416229</v>
      </c>
      <c r="AS77" s="24">
        <f t="shared" si="43"/>
        <v>61.321043191785002</v>
      </c>
      <c r="AT77" s="24">
        <f t="shared" si="44"/>
        <v>118.56245253291955</v>
      </c>
    </row>
    <row r="78" spans="3:46">
      <c r="D78" s="13"/>
      <c r="Y78" s="24">
        <v>76</v>
      </c>
      <c r="Z78" s="24">
        <f t="shared" si="28"/>
        <v>107.18169448207877</v>
      </c>
      <c r="AA78" s="24" t="str">
        <f t="shared" si="37"/>
        <v>673.442447968409i</v>
      </c>
      <c r="AB78" s="24">
        <f t="shared" si="29"/>
        <v>8.870967741935484</v>
      </c>
      <c r="AD78" s="24" t="str">
        <f t="shared" si="30"/>
        <v>0.999132607677022-0.0293916459568887i</v>
      </c>
      <c r="AE78" s="24" t="str">
        <f t="shared" si="31"/>
        <v>0.999999925292317-0.000293590858925278i</v>
      </c>
      <c r="AF78" s="24" t="str">
        <f t="shared" si="45"/>
        <v>7.0618557051527-0.209814863078994i</v>
      </c>
      <c r="AG78" s="24">
        <f t="shared" si="32"/>
        <v>7.0649719233105657</v>
      </c>
      <c r="AH78" s="24">
        <f t="shared" si="38"/>
        <v>-2.9702271882158422E-2</v>
      </c>
      <c r="AI78" s="24">
        <f t="shared" si="27"/>
        <v>-1.7018148207977737</v>
      </c>
      <c r="AJ78" s="24">
        <f t="shared" si="39"/>
        <v>16.98220880543105</v>
      </c>
      <c r="AL78" s="24" t="str">
        <f t="shared" si="40"/>
        <v>0.218501438795417-0.413229427848199i</v>
      </c>
      <c r="AM78" s="24" t="str">
        <f t="shared" si="41"/>
        <v>1.0000032363098+0.0150973065575865i</v>
      </c>
      <c r="AN78" s="24" t="str">
        <f t="shared" si="42"/>
        <v>-75.5511616403566+137.806921602419i</v>
      </c>
      <c r="AO78" s="24">
        <f t="shared" si="33"/>
        <v>157.15828220855099</v>
      </c>
      <c r="AP78" s="24">
        <f t="shared" si="34"/>
        <v>2.0722866997929317</v>
      </c>
      <c r="AQ78" s="24">
        <f t="shared" si="35"/>
        <v>118.73328183922884</v>
      </c>
      <c r="AR78" s="24">
        <f t="shared" si="36"/>
        <v>43.926745463698332</v>
      </c>
      <c r="AS78" s="24">
        <f t="shared" si="43"/>
        <v>60.908954269129381</v>
      </c>
      <c r="AT78" s="24">
        <f t="shared" si="44"/>
        <v>117.03146701843106</v>
      </c>
    </row>
    <row r="79" spans="3:46">
      <c r="D79" s="13"/>
      <c r="Y79" s="24">
        <v>77</v>
      </c>
      <c r="Z79" s="24">
        <f t="shared" si="28"/>
        <v>113.98107065871142</v>
      </c>
      <c r="AA79" s="24" t="str">
        <f t="shared" si="37"/>
        <v>716.164188459414i</v>
      </c>
      <c r="AB79" s="24">
        <f t="shared" si="29"/>
        <v>8.870967741935484</v>
      </c>
      <c r="AD79" s="24" t="str">
        <f t="shared" si="30"/>
        <v>0.999019177691745-0.0312526289125877i</v>
      </c>
      <c r="AE79" s="24" t="str">
        <f t="shared" si="31"/>
        <v>0.999999915513078-0.000312215628990456i</v>
      </c>
      <c r="AF79" s="24" t="str">
        <f t="shared" si="45"/>
        <v>7.06104593170792-0.22309965305596i</v>
      </c>
      <c r="AG79" s="24">
        <f t="shared" si="32"/>
        <v>7.0645695626048344</v>
      </c>
      <c r="AH79" s="24">
        <f t="shared" si="38"/>
        <v>-3.1585328824231818E-2</v>
      </c>
      <c r="AI79" s="24">
        <f t="shared" si="27"/>
        <v>-1.8097060361613899</v>
      </c>
      <c r="AJ79" s="24">
        <f t="shared" si="39"/>
        <v>16.981714116953139</v>
      </c>
      <c r="AL79" s="24" t="str">
        <f t="shared" si="40"/>
        <v>0.198223527192893-0.398661460966697i</v>
      </c>
      <c r="AM79" s="24" t="str">
        <f t="shared" si="41"/>
        <v>1.00000365994292+0.0160550471184558i</v>
      </c>
      <c r="AN79" s="24" t="str">
        <f t="shared" si="42"/>
        <v>-68.7887562398546+132.948740962084i</v>
      </c>
      <c r="AO79" s="24">
        <f t="shared" si="33"/>
        <v>149.69054983007263</v>
      </c>
      <c r="AP79" s="24">
        <f t="shared" si="34"/>
        <v>2.0482732359060876</v>
      </c>
      <c r="AQ79" s="24">
        <f t="shared" si="35"/>
        <v>117.35741170702283</v>
      </c>
      <c r="AR79" s="24">
        <f t="shared" si="36"/>
        <v>43.50388767203134</v>
      </c>
      <c r="AS79" s="24">
        <f t="shared" si="43"/>
        <v>60.485601788984482</v>
      </c>
      <c r="AT79" s="24">
        <f t="shared" si="44"/>
        <v>115.54770567086145</v>
      </c>
    </row>
    <row r="80" spans="3:46">
      <c r="D80" s="13"/>
      <c r="Y80" s="24">
        <v>78</v>
      </c>
      <c r="Z80" s="24">
        <f t="shared" si="28"/>
        <v>121.21178463621371</v>
      </c>
      <c r="AA80" s="24" t="str">
        <f t="shared" si="37"/>
        <v>761.596104283274i</v>
      </c>
      <c r="AB80" s="24">
        <f t="shared" si="29"/>
        <v>8.870967741935484</v>
      </c>
      <c r="AD80" s="24" t="str">
        <f t="shared" si="30"/>
        <v>0.99889093084294-0.033230948288584i</v>
      </c>
      <c r="AE80" s="24" t="str">
        <f t="shared" si="31"/>
        <v>0.999999904453735-0.000332021913887724i</v>
      </c>
      <c r="AF80" s="24" t="str">
        <f t="shared" si="45"/>
        <v>7.06013038109514-0.237222059076946i</v>
      </c>
      <c r="AG80" s="24">
        <f t="shared" si="32"/>
        <v>7.0641146156737378</v>
      </c>
      <c r="AH80" s="24">
        <f t="shared" si="38"/>
        <v>-3.3587601649226057E-2</v>
      </c>
      <c r="AI80" s="24">
        <f t="shared" si="27"/>
        <v>-1.9244278184672963</v>
      </c>
      <c r="AJ80" s="24">
        <f t="shared" si="39"/>
        <v>16.98115474160209</v>
      </c>
      <c r="AL80" s="24" t="str">
        <f t="shared" si="40"/>
        <v>0.17939550473728-0.383683147424195i</v>
      </c>
      <c r="AM80" s="24" t="str">
        <f t="shared" si="41"/>
        <v>1.00000413902964+0.017073544661074i</v>
      </c>
      <c r="AN80" s="24" t="str">
        <f t="shared" si="42"/>
        <v>-62.5098689808228+127.953717654047i</v>
      </c>
      <c r="AO80" s="24">
        <f t="shared" si="33"/>
        <v>142.40659247903943</v>
      </c>
      <c r="AP80" s="24">
        <f t="shared" si="34"/>
        <v>2.0252299369867024</v>
      </c>
      <c r="AQ80" s="24">
        <f t="shared" si="35"/>
        <v>116.03712793288372</v>
      </c>
      <c r="AR80" s="24">
        <f t="shared" si="36"/>
        <v>43.070601894302854</v>
      </c>
      <c r="AS80" s="24">
        <f t="shared" si="43"/>
        <v>60.051756635904944</v>
      </c>
      <c r="AT80" s="24">
        <f t="shared" si="44"/>
        <v>114.11270011441643</v>
      </c>
    </row>
    <row r="81" spans="4:46">
      <c r="D81" s="13"/>
      <c r="Y81" s="24">
        <v>79</v>
      </c>
      <c r="Z81" s="24">
        <f t="shared" si="28"/>
        <v>128.90119955697148</v>
      </c>
      <c r="AA81" s="24" t="str">
        <f t="shared" si="37"/>
        <v>809.910123134187i</v>
      </c>
      <c r="AB81" s="24">
        <f t="shared" si="29"/>
        <v>8.870967741935484</v>
      </c>
      <c r="AD81" s="24" t="str">
        <f t="shared" si="30"/>
        <v>0.9987459362696-0.0353339020582889i</v>
      </c>
      <c r="AE81" s="24" t="str">
        <f t="shared" si="31"/>
        <v>0.999999891946724-0.000353084666270786i</v>
      </c>
      <c r="AF81" s="24" t="str">
        <f t="shared" si="45"/>
        <v>7.05909526895249-0.252234178290889i</v>
      </c>
      <c r="AG81" s="24">
        <f t="shared" si="32"/>
        <v>7.0636002220429708</v>
      </c>
      <c r="AH81" s="24">
        <f t="shared" si="38"/>
        <v>-3.5716604354258781E-2</v>
      </c>
      <c r="AI81" s="24">
        <f t="shared" si="27"/>
        <v>-2.0464106880376072</v>
      </c>
      <c r="AJ81" s="24">
        <f t="shared" si="39"/>
        <v>16.98052223077346</v>
      </c>
      <c r="AL81" s="24" t="str">
        <f t="shared" si="40"/>
        <v>0.161994511607736-0.368445775951777i</v>
      </c>
      <c r="AM81" s="24" t="str">
        <f t="shared" si="41"/>
        <v>1.00000468082883+0.0181566534737246i</v>
      </c>
      <c r="AN81" s="24" t="str">
        <f t="shared" si="42"/>
        <v>-56.7068764262821+122.872304541902i</v>
      </c>
      <c r="AO81" s="24">
        <f t="shared" si="33"/>
        <v>135.32654232434797</v>
      </c>
      <c r="AP81" s="24">
        <f t="shared" si="34"/>
        <v>2.0031811697991331</v>
      </c>
      <c r="AQ81" s="24">
        <f t="shared" si="35"/>
        <v>114.77382662956946</v>
      </c>
      <c r="AR81" s="24">
        <f t="shared" si="36"/>
        <v>42.627659709407418</v>
      </c>
      <c r="AS81" s="24">
        <f t="shared" si="43"/>
        <v>59.608181940180877</v>
      </c>
      <c r="AT81" s="24">
        <f t="shared" si="44"/>
        <v>112.72741594153185</v>
      </c>
    </row>
    <row r="82" spans="4:46">
      <c r="D82" s="13"/>
      <c r="Y82" s="24">
        <v>80</v>
      </c>
      <c r="Z82" s="24">
        <f t="shared" si="28"/>
        <v>137.07841442227294</v>
      </c>
      <c r="AA82" s="24" t="str">
        <f t="shared" si="37"/>
        <v>861.2890794295i</v>
      </c>
      <c r="AB82" s="24">
        <f t="shared" si="29"/>
        <v>8.870967741935484</v>
      </c>
      <c r="AD82" s="24" t="str">
        <f t="shared" si="30"/>
        <v>0.998582012771622-0.0375692217930475i</v>
      </c>
      <c r="AE82" s="24" t="str">
        <f t="shared" si="31"/>
        <v>0.999999877802546-0.000375483593606993i</v>
      </c>
      <c r="AF82" s="24" t="str">
        <f t="shared" si="45"/>
        <v>7.05792502375441-0.268191203107522i</v>
      </c>
      <c r="AG82" s="24">
        <f t="shared" si="32"/>
        <v>7.0630186296202666</v>
      </c>
      <c r="AH82" s="24">
        <f t="shared" si="38"/>
        <v>-3.7980317745891105E-2</v>
      </c>
      <c r="AI82" s="24">
        <f t="shared" si="27"/>
        <v>-2.1761119114053846</v>
      </c>
      <c r="AJ82" s="24">
        <f t="shared" si="39"/>
        <v>16.979807035204889</v>
      </c>
      <c r="AL82" s="24" t="str">
        <f t="shared" si="40"/>
        <v>0.145981117578946-0.353087285085923i</v>
      </c>
      <c r="AM82" s="24" t="str">
        <f t="shared" si="41"/>
        <v>1.00000529354955+0.019308472351646i</v>
      </c>
      <c r="AN82" s="24" t="str">
        <f t="shared" si="42"/>
        <v>-51.3666291366083+117.750502391778i</v>
      </c>
      <c r="AO82" s="24">
        <f t="shared" si="33"/>
        <v>128.46677158850835</v>
      </c>
      <c r="AP82" s="24">
        <f t="shared" si="34"/>
        <v>1.9821426407169889</v>
      </c>
      <c r="AQ82" s="24">
        <f t="shared" si="35"/>
        <v>113.56840770599935</v>
      </c>
      <c r="AR82" s="24">
        <f t="shared" si="36"/>
        <v>42.175816205969213</v>
      </c>
      <c r="AS82" s="24">
        <f t="shared" si="43"/>
        <v>59.155623241174098</v>
      </c>
      <c r="AT82" s="24">
        <f t="shared" si="44"/>
        <v>111.39229579459396</v>
      </c>
    </row>
    <row r="83" spans="4:46">
      <c r="D83" s="13"/>
      <c r="Y83" s="24">
        <v>81</v>
      </c>
      <c r="Z83" s="24">
        <f t="shared" si="28"/>
        <v>145.77437421146283</v>
      </c>
      <c r="AA83" s="24" t="str">
        <f t="shared" si="37"/>
        <v>915.927406208762i</v>
      </c>
      <c r="AB83" s="24">
        <f t="shared" si="29"/>
        <v>8.870967741935484</v>
      </c>
      <c r="AD83" s="24" t="str">
        <f t="shared" si="30"/>
        <v>0.998396696709777-0.0399450942652683i</v>
      </c>
      <c r="AE83" s="24" t="str">
        <f t="shared" si="31"/>
        <v>0.999999861806893-0.000399303459808133i</v>
      </c>
      <c r="AF83" s="24" t="str">
        <f t="shared" si="45"/>
        <v>7.05660205765045-0.285151575409901i</v>
      </c>
      <c r="AG83" s="24">
        <f t="shared" si="32"/>
        <v>7.0623610797661227</v>
      </c>
      <c r="AH83" s="24">
        <f t="shared" si="38"/>
        <v>-4.0387217064675122E-2</v>
      </c>
      <c r="AI83" s="24">
        <f t="shared" si="27"/>
        <v>-2.3140170840846217</v>
      </c>
      <c r="AJ83" s="24">
        <f t="shared" si="39"/>
        <v>16.978998362364052</v>
      </c>
      <c r="AL83" s="24" t="str">
        <f t="shared" si="40"/>
        <v>0.131302647281417-0.337731049947008i</v>
      </c>
      <c r="AM83" s="24" t="str">
        <f t="shared" si="41"/>
        <v>1.00000598647544+0.0205333601078651i</v>
      </c>
      <c r="AN83" s="24" t="str">
        <f t="shared" si="42"/>
        <v>-46.4715605982259+112.629455280196i</v>
      </c>
      <c r="AO83" s="24">
        <f t="shared" si="33"/>
        <v>121.84005967311511</v>
      </c>
      <c r="AP83" s="24">
        <f t="shared" si="34"/>
        <v>1.9621222730527752</v>
      </c>
      <c r="AQ83" s="24">
        <f t="shared" si="35"/>
        <v>112.42132513453971</v>
      </c>
      <c r="AR83" s="24">
        <f t="shared" si="36"/>
        <v>41.715802060613932</v>
      </c>
      <c r="AS83" s="24">
        <f t="shared" si="43"/>
        <v>58.694800422977984</v>
      </c>
      <c r="AT83" s="24">
        <f t="shared" si="44"/>
        <v>110.10730805045509</v>
      </c>
    </row>
    <row r="84" spans="4:46">
      <c r="D84" s="13"/>
      <c r="Y84" s="24">
        <v>82</v>
      </c>
      <c r="Z84" s="24">
        <f t="shared" si="28"/>
        <v>155.02198698682062</v>
      </c>
      <c r="AA84" s="24" t="str">
        <f t="shared" si="37"/>
        <v>974.031870925376i</v>
      </c>
      <c r="AB84" s="24">
        <f t="shared" si="29"/>
        <v>8.870967741935484</v>
      </c>
      <c r="AD84" s="24" t="str">
        <f t="shared" si="30"/>
        <v>0.998187205889132-0.0424701832429908i</v>
      </c>
      <c r="AE84" s="24" t="str">
        <f t="shared" si="31"/>
        <v>0.99999984371741-0.000424634405995163i</v>
      </c>
      <c r="AF84" s="24" t="str">
        <f t="shared" si="45"/>
        <v>7.05510650863007-0.303177142132868i</v>
      </c>
      <c r="AG84" s="24">
        <f t="shared" si="32"/>
        <v>7.0616176778147821</v>
      </c>
      <c r="AH84" s="24">
        <f t="shared" si="38"/>
        <v>-4.2946300962598126E-2</v>
      </c>
      <c r="AI84" s="24">
        <f t="shared" si="27"/>
        <v>-2.4606417908554974</v>
      </c>
      <c r="AJ84" s="24">
        <f t="shared" si="39"/>
        <v>16.97808401557511</v>
      </c>
      <c r="AL84" s="24" t="str">
        <f t="shared" si="40"/>
        <v>0.117896354010466-0.322485354274431i</v>
      </c>
      <c r="AM84" s="24" t="str">
        <f t="shared" si="41"/>
        <v>1.00000677010535+0.0218359520679704i</v>
      </c>
      <c r="AN84" s="24" t="str">
        <f t="shared" si="42"/>
        <v>-42.0007456453668+107.545274525652i</v>
      </c>
      <c r="AO84" s="24">
        <f t="shared" si="33"/>
        <v>115.45583011509055</v>
      </c>
      <c r="AP84" s="24">
        <f t="shared" si="34"/>
        <v>1.943121138276062</v>
      </c>
      <c r="AQ84" s="24">
        <f t="shared" si="35"/>
        <v>111.3326403058748</v>
      </c>
      <c r="AR84" s="24">
        <f t="shared" si="36"/>
        <v>41.248317363146768</v>
      </c>
      <c r="AS84" s="24">
        <f t="shared" si="43"/>
        <v>58.226401378721874</v>
      </c>
      <c r="AT84" s="24">
        <f t="shared" si="44"/>
        <v>108.8719985150193</v>
      </c>
    </row>
    <row r="85" spans="4:46">
      <c r="D85" s="13"/>
      <c r="Y85" s="24">
        <v>83</v>
      </c>
      <c r="Z85" s="24">
        <f t="shared" si="28"/>
        <v>164.85624842731968</v>
      </c>
      <c r="AA85" s="24" t="str">
        <f t="shared" si="37"/>
        <v>1035.82235791528i</v>
      </c>
      <c r="AB85" s="24">
        <f t="shared" si="29"/>
        <v>8.870967741935484</v>
      </c>
      <c r="AD85" s="24" t="str">
        <f t="shared" si="30"/>
        <v>0.997950398951245-0.0451536512552863i</v>
      </c>
      <c r="AE85" s="24" t="str">
        <f t="shared" si="31"/>
        <v>0.999999823260013-0.000451572291610481i</v>
      </c>
      <c r="AF85" s="24" t="str">
        <f t="shared" si="45"/>
        <v>7.05341595062464-0.322333310632506i</v>
      </c>
      <c r="AG85" s="24">
        <f t="shared" si="32"/>
        <v>7.0607772472773416</v>
      </c>
      <c r="AH85" s="24">
        <f t="shared" si="38"/>
        <v>-4.5667121839530728E-2</v>
      </c>
      <c r="AI85" s="24">
        <f t="shared" si="27"/>
        <v>-2.6165333439148188</v>
      </c>
      <c r="AJ85" s="24">
        <f t="shared" si="39"/>
        <v>16.977050212605569</v>
      </c>
      <c r="AL85" s="24" t="str">
        <f t="shared" si="40"/>
        <v>0.105692333052864-0.307443431848375i</v>
      </c>
      <c r="AM85" s="24" t="str">
        <f t="shared" si="41"/>
        <v>1.00000765631245+0.0232211776112377i</v>
      </c>
      <c r="AN85" s="24" t="str">
        <f t="shared" si="42"/>
        <v>-37.9308720145412+102.529052502882i</v>
      </c>
      <c r="AO85" s="24">
        <f t="shared" si="33"/>
        <v>109.32043568757965</v>
      </c>
      <c r="AP85" s="24">
        <f t="shared" si="34"/>
        <v>1.9251344025234278</v>
      </c>
      <c r="AQ85" s="24">
        <f t="shared" si="35"/>
        <v>110.3020762600318</v>
      </c>
      <c r="AR85" s="24">
        <f t="shared" si="36"/>
        <v>40.774027077378179</v>
      </c>
      <c r="AS85" s="24">
        <f t="shared" si="43"/>
        <v>57.751077289983748</v>
      </c>
      <c r="AT85" s="24">
        <f t="shared" si="44"/>
        <v>107.68554291611697</v>
      </c>
    </row>
    <row r="86" spans="4:46">
      <c r="D86" s="13"/>
      <c r="Y86" s="24">
        <v>84</v>
      </c>
      <c r="Z86" s="24">
        <f t="shared" si="28"/>
        <v>175.3143742625403</v>
      </c>
      <c r="AA86" s="24" t="str">
        <f t="shared" si="37"/>
        <v>1101.53270050378i</v>
      </c>
      <c r="AB86" s="24">
        <f t="shared" si="29"/>
        <v>8.870967741935484</v>
      </c>
      <c r="AD86" s="24" t="str">
        <f t="shared" si="30"/>
        <v>0.997682729752319-0.048005181048922i</v>
      </c>
      <c r="AE86" s="24" t="str">
        <f t="shared" si="31"/>
        <v>0.999999800124742-0.000480219057168364i</v>
      </c>
      <c r="AF86" s="24" t="str">
        <f t="shared" si="45"/>
        <v>7.05150506781442-0.342689201850685i</v>
      </c>
      <c r="AG86" s="24">
        <f t="shared" si="32"/>
        <v>7.0598271657652854</v>
      </c>
      <c r="AH86" s="24">
        <f t="shared" si="38"/>
        <v>-4.8559817529458843E-2</v>
      </c>
      <c r="AI86" s="24">
        <f t="shared" si="27"/>
        <v>-2.782272598363384</v>
      </c>
      <c r="AJ86" s="24">
        <f t="shared" si="39"/>
        <v>16.97588138116862</v>
      </c>
      <c r="AL86" s="24" t="str">
        <f t="shared" si="40"/>
        <v>0.0946161055997197-0.292683956104298i</v>
      </c>
      <c r="AM86" s="24" t="str">
        <f t="shared" si="41"/>
        <v>1.00000865852408+0.0246942788244819i</v>
      </c>
      <c r="AN86" s="24" t="str">
        <f t="shared" si="42"/>
        <v>-34.2371020440348+97.6070259232795i</v>
      </c>
      <c r="AO86" s="24">
        <f t="shared" si="33"/>
        <v>103.4374722523777</v>
      </c>
      <c r="AP86" s="24">
        <f t="shared" si="34"/>
        <v>1.9081522571535841</v>
      </c>
      <c r="AQ86" s="24">
        <f t="shared" si="35"/>
        <v>109.32907100326211</v>
      </c>
      <c r="AR86" s="24">
        <f t="shared" si="36"/>
        <v>40.293557979082976</v>
      </c>
      <c r="AS86" s="24">
        <f t="shared" si="43"/>
        <v>57.269439360251596</v>
      </c>
      <c r="AT86" s="24">
        <f t="shared" si="44"/>
        <v>106.54679840489874</v>
      </c>
    </row>
    <row r="87" spans="4:46">
      <c r="D87" s="13"/>
      <c r="Y87" s="24">
        <v>85</v>
      </c>
      <c r="Z87" s="24">
        <f t="shared" si="28"/>
        <v>186.43594110790573</v>
      </c>
      <c r="AA87" s="24" t="str">
        <f t="shared" si="37"/>
        <v>1171.41156589939i</v>
      </c>
      <c r="AB87" s="24">
        <f t="shared" si="29"/>
        <v>8.870967741935484</v>
      </c>
      <c r="AD87" s="24" t="str">
        <f t="shared" si="30"/>
        <v>0.997380196153817-0.0510349963856802i</v>
      </c>
      <c r="AE87" s="24" t="str">
        <f t="shared" si="31"/>
        <v>0.999999773961063-0.000510683110015969i</v>
      </c>
      <c r="AF87" s="24" t="str">
        <f t="shared" si="45"/>
        <v>7.04934528904621-0.364317798771682i</v>
      </c>
      <c r="AG87" s="24">
        <f t="shared" si="32"/>
        <v>7.0587531804632349</v>
      </c>
      <c r="AH87" s="24">
        <f t="shared" si="38"/>
        <v>-5.1635144307966598E-2</v>
      </c>
      <c r="AI87" s="24">
        <f t="shared" si="27"/>
        <v>-2.9584758433954419</v>
      </c>
      <c r="AJ87" s="24">
        <f t="shared" si="39"/>
        <v>16.97455992850189</v>
      </c>
      <c r="AL87" s="24" t="str">
        <f t="shared" si="40"/>
        <v>0.0845908388016618-0.278271861302024i</v>
      </c>
      <c r="AM87" s="24" t="str">
        <f t="shared" si="41"/>
        <v>1.00000979192524+0.0262608303392085i</v>
      </c>
      <c r="AN87" s="24" t="str">
        <f t="shared" si="42"/>
        <v>-30.8938130318558+92.8008496842889i</v>
      </c>
      <c r="AO87" s="24">
        <f t="shared" si="33"/>
        <v>97.808104908403422</v>
      </c>
      <c r="AP87" s="24">
        <f t="shared" si="34"/>
        <v>1.8921608094576718</v>
      </c>
      <c r="AQ87" s="24">
        <f t="shared" si="35"/>
        <v>108.41282854198214</v>
      </c>
      <c r="AR87" s="24">
        <f t="shared" si="36"/>
        <v>39.807496885353707</v>
      </c>
      <c r="AS87" s="24">
        <f t="shared" si="43"/>
        <v>56.782056813855597</v>
      </c>
      <c r="AT87" s="24">
        <f t="shared" si="44"/>
        <v>105.45435269858669</v>
      </c>
    </row>
    <row r="88" spans="4:46">
      <c r="D88" s="13"/>
      <c r="Y88" s="24">
        <v>86</v>
      </c>
      <c r="Z88" s="24">
        <f t="shared" si="28"/>
        <v>198.26303623420247</v>
      </c>
      <c r="AA88" s="24" t="str">
        <f t="shared" si="37"/>
        <v>1245.72339622355i</v>
      </c>
      <c r="AB88" s="24">
        <f t="shared" si="29"/>
        <v>8.870967741935484</v>
      </c>
      <c r="AD88" s="24" t="str">
        <f t="shared" si="30"/>
        <v>0.997038282599525-0.0542538817444357i</v>
      </c>
      <c r="AE88" s="24" t="str">
        <f t="shared" si="31"/>
        <v>0.99999974437256-0.000543079734564367i</v>
      </c>
      <c r="AF88" s="24" t="str">
        <f t="shared" si="45"/>
        <v>7.04690437789268-0.387296087058945i</v>
      </c>
      <c r="AG88" s="24">
        <f t="shared" si="32"/>
        <v>7.0575392007564641</v>
      </c>
      <c r="AH88" s="24">
        <f t="shared" si="38"/>
        <v>-5.4904511168309557E-2</v>
      </c>
      <c r="AI88" s="24">
        <f t="shared" si="27"/>
        <v>-3.1457967661730302</v>
      </c>
      <c r="AJ88" s="24">
        <f t="shared" si="39"/>
        <v>16.97306598186249</v>
      </c>
      <c r="AL88" s="24" t="str">
        <f t="shared" si="40"/>
        <v>0.075539195103545-0.264259389817379i</v>
      </c>
      <c r="AM88" s="24" t="str">
        <f t="shared" si="41"/>
        <v>1.00001107368863+0.0279267604271255i</v>
      </c>
      <c r="AN88" s="24" t="str">
        <f t="shared" si="42"/>
        <v>-27.8752139634826+88.1279461276005i</v>
      </c>
      <c r="AO88" s="24">
        <f t="shared" si="33"/>
        <v>92.431393163682174</v>
      </c>
      <c r="AP88" s="24">
        <f t="shared" si="34"/>
        <v>1.8771429164899047</v>
      </c>
      <c r="AQ88" s="24">
        <f t="shared" si="35"/>
        <v>107.55236665774989</v>
      </c>
      <c r="AR88" s="24">
        <f t="shared" si="36"/>
        <v>39.316389978992319</v>
      </c>
      <c r="AS88" s="24">
        <f t="shared" si="43"/>
        <v>56.289455960854809</v>
      </c>
      <c r="AT88" s="24">
        <f t="shared" si="44"/>
        <v>104.40656989157685</v>
      </c>
    </row>
    <row r="89" spans="4:46">
      <c r="D89" s="13"/>
      <c r="Y89" s="24">
        <v>87</v>
      </c>
      <c r="Z89" s="24">
        <f t="shared" si="28"/>
        <v>210.84041683815525</v>
      </c>
      <c r="AA89" s="24" t="str">
        <f t="shared" si="37"/>
        <v>1324.74940923712i</v>
      </c>
      <c r="AB89" s="24">
        <f t="shared" si="29"/>
        <v>8.870967741935484</v>
      </c>
      <c r="AD89" s="24" t="str">
        <f t="shared" si="30"/>
        <v>0.996651895799696-0.057673200390018i</v>
      </c>
      <c r="AE89" s="24" t="str">
        <f t="shared" si="31"/>
        <v>0.99999971091092-0.000577531528541473i</v>
      </c>
      <c r="AF89" s="24" t="str">
        <f t="shared" si="45"/>
        <v>7.04414597350323-0.411705184031368i</v>
      </c>
      <c r="AG89" s="24">
        <f t="shared" si="32"/>
        <v>7.0561670653818895</v>
      </c>
      <c r="AH89" s="24">
        <f t="shared" si="38"/>
        <v>-5.8380015283521124E-2</v>
      </c>
      <c r="AI89" s="24">
        <f t="shared" si="27"/>
        <v>-3.3449284836550026</v>
      </c>
      <c r="AJ89" s="24">
        <f t="shared" si="39"/>
        <v>16.971377096428025</v>
      </c>
      <c r="AL89" s="24" t="str">
        <f t="shared" si="40"/>
        <v>0.0673848244700412-0.250687275108217i</v>
      </c>
      <c r="AM89" s="24" t="str">
        <f t="shared" si="41"/>
        <v>1.00001252323487+0.0296983734338236i</v>
      </c>
      <c r="AN89" s="24" t="str">
        <f t="shared" si="42"/>
        <v>-25.155843148623+83.6018995429519i</v>
      </c>
      <c r="AO89" s="24">
        <f t="shared" si="33"/>
        <v>87.304604985693302</v>
      </c>
      <c r="AP89" s="24">
        <f t="shared" si="34"/>
        <v>1.8630789510197883</v>
      </c>
      <c r="AQ89" s="24">
        <f t="shared" si="35"/>
        <v>106.7465607930945</v>
      </c>
      <c r="AR89" s="24">
        <f t="shared" si="36"/>
        <v>38.820743033820634</v>
      </c>
      <c r="AS89" s="24">
        <f t="shared" si="43"/>
        <v>55.792120130248662</v>
      </c>
      <c r="AT89" s="24">
        <f t="shared" si="44"/>
        <v>103.40163230943951</v>
      </c>
    </row>
    <row r="90" spans="4:46">
      <c r="D90" s="13"/>
      <c r="Y90" s="24">
        <v>88</v>
      </c>
      <c r="Z90" s="24">
        <f t="shared" si="28"/>
        <v>224.21567941678887</v>
      </c>
      <c r="AA90" s="24" t="str">
        <f t="shared" si="37"/>
        <v>1408.78866255086i</v>
      </c>
      <c r="AB90" s="24">
        <f t="shared" si="29"/>
        <v>8.870967741935484</v>
      </c>
      <c r="AD90" s="24" t="str">
        <f t="shared" si="30"/>
        <v>0.996215292790203-0.061304910149192i</v>
      </c>
      <c r="AE90" s="24" t="str">
        <f t="shared" si="31"/>
        <v>0.999999673069153-0.000614168866917296i</v>
      </c>
      <c r="AF90" s="24" t="str">
        <f t="shared" si="45"/>
        <v>7.04102907702045-0.437630451269674i</v>
      </c>
      <c r="AG90" s="24">
        <f t="shared" si="32"/>
        <v>7.0546162812250781</v>
      </c>
      <c r="AH90" s="24">
        <f t="shared" si="38"/>
        <v>-6.2074478535227712E-2</v>
      </c>
      <c r="AI90" s="24">
        <f t="shared" si="27"/>
        <v>-3.5566056355439684</v>
      </c>
      <c r="AJ90" s="24">
        <f t="shared" si="39"/>
        <v>16.969467926715488</v>
      </c>
      <c r="AL90" s="24" t="str">
        <f t="shared" si="40"/>
        <v>0.0600535270223247-0.237585986359683i</v>
      </c>
      <c r="AM90" s="24" t="str">
        <f t="shared" si="41"/>
        <v>1.00001416252672+0.0315823736355009i</v>
      </c>
      <c r="AN90" s="24" t="str">
        <f t="shared" si="42"/>
        <v>-22.7109559445886+79.2328712411581i</v>
      </c>
      <c r="AO90" s="24">
        <f t="shared" si="33"/>
        <v>82.423512452667168</v>
      </c>
      <c r="AP90" s="24">
        <f t="shared" si="34"/>
        <v>1.8499474936648377</v>
      </c>
      <c r="AQ90" s="24">
        <f t="shared" si="35"/>
        <v>105.99418370779979</v>
      </c>
      <c r="AR90" s="24">
        <f t="shared" si="36"/>
        <v>38.321022358177544</v>
      </c>
      <c r="AS90" s="24">
        <f t="shared" si="43"/>
        <v>55.290490284893032</v>
      </c>
      <c r="AT90" s="24">
        <f t="shared" si="44"/>
        <v>102.43757807225582</v>
      </c>
    </row>
    <row r="91" spans="4:46">
      <c r="D91" s="13"/>
      <c r="Y91" s="24">
        <v>89</v>
      </c>
      <c r="Z91" s="24">
        <f t="shared" si="28"/>
        <v>238.43943988652958</v>
      </c>
      <c r="AA91" s="24" t="str">
        <f t="shared" si="37"/>
        <v>1498.15918534717i</v>
      </c>
      <c r="AB91" s="24">
        <f t="shared" si="29"/>
        <v>8.870967741935484</v>
      </c>
      <c r="AD91" s="24" t="str">
        <f t="shared" si="30"/>
        <v>0.99572200058461-0.065161576089497i</v>
      </c>
      <c r="AE91" s="24" t="str">
        <f t="shared" si="31"/>
        <v>0.999999630273898-0.000653130395256386i</v>
      </c>
      <c r="AF91" s="24" t="str">
        <f t="shared" si="45"/>
        <v>7.03750747797849-0.465161585111242i</v>
      </c>
      <c r="AG91" s="24">
        <f t="shared" si="32"/>
        <v>7.0528637306321453</v>
      </c>
      <c r="AH91" s="24">
        <f t="shared" si="38"/>
        <v>-6.6001484944885044E-2</v>
      </c>
      <c r="AI91" s="24">
        <f t="shared" si="27"/>
        <v>-3.781606528938156</v>
      </c>
      <c r="AJ91" s="24">
        <f t="shared" si="39"/>
        <v>16.967309857223153</v>
      </c>
      <c r="AL91" s="24" t="str">
        <f t="shared" si="40"/>
        <v>0.053474121917193-0.224976977049604i</v>
      </c>
      <c r="AM91" s="24" t="str">
        <f t="shared" si="41"/>
        <v>1.00001601640189+0.0335858906089902i</v>
      </c>
      <c r="AN91" s="24" t="str">
        <f t="shared" si="42"/>
        <v>-20.5168145155533+75.028015934514i</v>
      </c>
      <c r="AO91" s="24">
        <f t="shared" si="33"/>
        <v>77.782664218547481</v>
      </c>
      <c r="AP91" s="24">
        <f t="shared" si="34"/>
        <v>1.8377259493073785</v>
      </c>
      <c r="AQ91" s="24">
        <f t="shared" si="35"/>
        <v>105.29394079698547</v>
      </c>
      <c r="AR91" s="24">
        <f t="shared" si="36"/>
        <v>37.817656291167808</v>
      </c>
      <c r="AS91" s="24">
        <f t="shared" si="43"/>
        <v>54.784966148390964</v>
      </c>
      <c r="AT91" s="24">
        <f t="shared" si="44"/>
        <v>101.51233426804731</v>
      </c>
    </row>
    <row r="92" spans="4:46">
      <c r="D92" s="13"/>
      <c r="Y92" s="24">
        <v>90</v>
      </c>
      <c r="Z92" s="24">
        <f t="shared" si="28"/>
        <v>253.56552512868072</v>
      </c>
      <c r="AA92" s="24" t="str">
        <f t="shared" si="37"/>
        <v>1593.1991818958i</v>
      </c>
      <c r="AB92" s="24">
        <f t="shared" si="29"/>
        <v>8.870967741935484</v>
      </c>
      <c r="AD92" s="24" t="str">
        <f t="shared" si="30"/>
        <v>0.995164726592574-0.0692563791255574i</v>
      </c>
      <c r="AE92" s="24" t="str">
        <f t="shared" si="31"/>
        <v>0.999999581876747-0.000694563554363648i</v>
      </c>
      <c r="AF92" s="24" t="str">
        <f t="shared" si="45"/>
        <v>7.03352911478267-0.494392678070048i</v>
      </c>
      <c r="AG92" s="24">
        <f t="shared" si="32"/>
        <v>7.0508833438530782</v>
      </c>
      <c r="AH92" s="24">
        <f t="shared" si="38"/>
        <v>-7.0175418788450017E-2</v>
      </c>
      <c r="AI92" s="24">
        <f t="shared" si="27"/>
        <v>-4.0207553221412473</v>
      </c>
      <c r="AJ92" s="24">
        <f t="shared" si="39"/>
        <v>16.964870587570079</v>
      </c>
      <c r="AL92" s="24" t="str">
        <f t="shared" si="40"/>
        <v>0.0475790621526601-0.212873894588635i</v>
      </c>
      <c r="AM92" s="24" t="str">
        <f t="shared" si="41"/>
        <v>1.00001811294931+0.0357165062110579i</v>
      </c>
      <c r="AN92" s="24" t="str">
        <f t="shared" si="42"/>
        <v>-18.5508928617694+70.9918851362154i</v>
      </c>
      <c r="AO92" s="24">
        <f t="shared" si="33"/>
        <v>73.3756320665277</v>
      </c>
      <c r="AP92" s="24">
        <f t="shared" si="34"/>
        <v>1.826391088979832</v>
      </c>
      <c r="AQ92" s="24">
        <f t="shared" si="35"/>
        <v>104.64450113884678</v>
      </c>
      <c r="AR92" s="24">
        <f t="shared" si="36"/>
        <v>37.311037106734645</v>
      </c>
      <c r="AS92" s="24">
        <f t="shared" si="43"/>
        <v>54.275907694304721</v>
      </c>
      <c r="AT92" s="24">
        <f t="shared" si="44"/>
        <v>100.62374581670554</v>
      </c>
    </row>
    <row r="93" spans="4:46">
      <c r="D93" s="13"/>
      <c r="Y93" s="24">
        <v>91</v>
      </c>
      <c r="Z93" s="24">
        <f t="shared" si="28"/>
        <v>269.65117668612646</v>
      </c>
      <c r="AA93" s="24" t="str">
        <f t="shared" si="37"/>
        <v>1694.26831141796i</v>
      </c>
      <c r="AB93" s="24">
        <f t="shared" si="29"/>
        <v>8.870967741935484</v>
      </c>
      <c r="AD93" s="24" t="str">
        <f t="shared" si="30"/>
        <v>0.994535258942734-0.0736031193758363i</v>
      </c>
      <c r="AE93" s="24" t="str">
        <f t="shared" si="31"/>
        <v>0.99999952714441-0.000738625138207875i</v>
      </c>
      <c r="AF93" s="24" t="str">
        <f t="shared" si="45"/>
        <v>7.02903536311739-0.525422242778858i</v>
      </c>
      <c r="AG93" s="24">
        <f t="shared" si="32"/>
        <v>7.0486457329874073</v>
      </c>
      <c r="AH93" s="24">
        <f t="shared" si="38"/>
        <v>-7.4611503109357047E-2</v>
      </c>
      <c r="AI93" s="24">
        <f t="shared" si="27"/>
        <v>-4.2749242312933777</v>
      </c>
      <c r="AJ93" s="24">
        <f t="shared" si="39"/>
        <v>16.962113666953883</v>
      </c>
      <c r="AL93" s="24" t="str">
        <f t="shared" si="40"/>
        <v>0.0423048355120844-0.201283721160902i</v>
      </c>
      <c r="AM93" s="24" t="str">
        <f t="shared" si="41"/>
        <v>1.00002048393475+0.0379822832690402i</v>
      </c>
      <c r="AN93" s="24" t="str">
        <f t="shared" si="42"/>
        <v>-16.79201052892+67.1268076161615i</v>
      </c>
      <c r="AO93" s="24">
        <f t="shared" si="33"/>
        <v>69.195230459479774</v>
      </c>
      <c r="AP93" s="24">
        <f t="shared" si="34"/>
        <v>1.8159195206225356</v>
      </c>
      <c r="AQ93" s="24">
        <f t="shared" si="35"/>
        <v>104.04452446709095</v>
      </c>
      <c r="AR93" s="24">
        <f t="shared" si="36"/>
        <v>36.80152320228067</v>
      </c>
      <c r="AS93" s="24">
        <f t="shared" si="43"/>
        <v>53.763636869234553</v>
      </c>
      <c r="AT93" s="24">
        <f t="shared" si="44"/>
        <v>99.769600235797569</v>
      </c>
    </row>
    <row r="94" spans="4:46">
      <c r="D94" s="13"/>
      <c r="Y94" s="24">
        <v>92</v>
      </c>
      <c r="Z94" s="24">
        <f t="shared" si="28"/>
        <v>286.75726738211927</v>
      </c>
      <c r="AA94" s="24" t="str">
        <f t="shared" si="37"/>
        <v>1801.7490491423i</v>
      </c>
      <c r="AB94" s="24">
        <f t="shared" si="29"/>
        <v>8.870967741935484</v>
      </c>
      <c r="AD94" s="24" t="str">
        <f t="shared" si="30"/>
        <v>0.993824355827272-0.0782162128562855i</v>
      </c>
      <c r="AE94" s="24" t="str">
        <f t="shared" si="31"/>
        <v>0.999999465247612-0.000785481887233185i</v>
      </c>
      <c r="AF94" s="24" t="str">
        <f t="shared" si="45"/>
        <v>7.02396024598021-0.558353188362331i</v>
      </c>
      <c r="AG94" s="24">
        <f t="shared" si="32"/>
        <v>7.0461177835787527</v>
      </c>
      <c r="AH94" s="24">
        <f t="shared" si="38"/>
        <v>-7.9325838265014645E-2</v>
      </c>
      <c r="AI94" s="24">
        <f t="shared" si="27"/>
        <v>-4.5450357389227074</v>
      </c>
      <c r="AJ94" s="24">
        <f t="shared" si="39"/>
        <v>16.958997972279924</v>
      </c>
      <c r="AL94" s="24" t="str">
        <f t="shared" si="40"/>
        <v>0.0375921900813099-0.190207826669148i</v>
      </c>
      <c r="AM94" s="24" t="str">
        <f t="shared" si="41"/>
        <v>1.00002316528214+0.040391796091341i</v>
      </c>
      <c r="AN94" s="24" t="str">
        <f t="shared" si="42"/>
        <v>-15.2204078149742+63.4332405448827i</v>
      </c>
      <c r="AO94" s="24">
        <f t="shared" si="33"/>
        <v>65.233709231340498</v>
      </c>
      <c r="AP94" s="24">
        <f t="shared" si="34"/>
        <v>1.8062880936048338</v>
      </c>
      <c r="AQ94" s="24">
        <f t="shared" si="35"/>
        <v>103.49268434828836</v>
      </c>
      <c r="AR94" s="24">
        <f t="shared" si="36"/>
        <v>36.289441469853102</v>
      </c>
      <c r="AS94" s="24">
        <f t="shared" si="43"/>
        <v>53.248439442133026</v>
      </c>
      <c r="AT94" s="24">
        <f t="shared" si="44"/>
        <v>98.947648609365658</v>
      </c>
    </row>
    <row r="95" spans="4:46">
      <c r="D95" s="13"/>
      <c r="Y95" s="24">
        <v>93</v>
      </c>
      <c r="Z95" s="24">
        <f t="shared" si="28"/>
        <v>304.94853168089651</v>
      </c>
      <c r="AA95" s="24" t="str">
        <f t="shared" si="37"/>
        <v>1916.0481337034i</v>
      </c>
      <c r="AB95" s="24">
        <f t="shared" si="29"/>
        <v>8.870967741935484</v>
      </c>
      <c r="AD95" s="24" t="str">
        <f t="shared" si="30"/>
        <v>0.993021622985047-0.0831106798213994i</v>
      </c>
      <c r="AE95" s="24" t="str">
        <f t="shared" si="31"/>
        <v>0.999999395248528-0.000835311119302171i</v>
      </c>
      <c r="AF95" s="24" t="str">
        <f t="shared" si="45"/>
        <v>7.01822955903749-0.593292737179689i</v>
      </c>
      <c r="AG95" s="24">
        <f t="shared" si="32"/>
        <v>7.0432621998146381</v>
      </c>
      <c r="AH95" s="24">
        <f t="shared" si="38"/>
        <v>-8.4335440046614585E-2</v>
      </c>
      <c r="AI95" s="24">
        <f t="shared" si="27"/>
        <v>-4.8320647780496024</v>
      </c>
      <c r="AJ95" s="24">
        <f t="shared" si="39"/>
        <v>16.955477123840005</v>
      </c>
      <c r="AL95" s="24" t="str">
        <f t="shared" si="40"/>
        <v>0.0333862195403666-0.179642923281628i</v>
      </c>
      <c r="AM95" s="24" t="str">
        <f t="shared" si="41"/>
        <v>1.00002619761782+0.0429541629132018i</v>
      </c>
      <c r="AN95" s="24" t="str">
        <f t="shared" si="42"/>
        <v>-13.8177742137776+59.9100878230706i</v>
      </c>
      <c r="AO95" s="24">
        <f t="shared" si="33"/>
        <v>61.482920451056714</v>
      </c>
      <c r="AP95" s="24">
        <f t="shared" si="34"/>
        <v>1.797474242789318</v>
      </c>
      <c r="AQ95" s="24">
        <f t="shared" si="35"/>
        <v>102.98768789530136</v>
      </c>
      <c r="AR95" s="24">
        <f t="shared" si="36"/>
        <v>35.775089767853764</v>
      </c>
      <c r="AS95" s="24">
        <f t="shared" si="43"/>
        <v>52.730566891693769</v>
      </c>
      <c r="AT95" s="24">
        <f t="shared" si="44"/>
        <v>98.155623117251764</v>
      </c>
    </row>
    <row r="96" spans="4:46">
      <c r="D96" s="13"/>
      <c r="Y96" s="24">
        <v>94</v>
      </c>
      <c r="Z96" s="24">
        <f t="shared" si="28"/>
        <v>324.29381066187881</v>
      </c>
      <c r="AA96" s="24" t="str">
        <f t="shared" si="37"/>
        <v>2037.59810636i</v>
      </c>
      <c r="AB96" s="24">
        <f t="shared" si="29"/>
        <v>8.870967741935484</v>
      </c>
      <c r="AD96" s="24" t="str">
        <f t="shared" si="30"/>
        <v>0.992115378469037-0.0883021227431373i</v>
      </c>
      <c r="AE96" s="24" t="str">
        <f t="shared" si="31"/>
        <v>0.999999316086569-0.000888301400656574i</v>
      </c>
      <c r="AF96" s="24" t="str">
        <f t="shared" si="45"/>
        <v>7.01175990520304-0.630352267590833i</v>
      </c>
      <c r="AG96" s="24">
        <f t="shared" si="32"/>
        <v>7.0400369991548946</v>
      </c>
      <c r="AH96" s="24">
        <f t="shared" si="38"/>
        <v>-8.9658276798240524E-2</v>
      </c>
      <c r="AI96" s="24">
        <f t="shared" si="27"/>
        <v>-5.1370408589548937</v>
      </c>
      <c r="AJ96" s="24">
        <f t="shared" si="39"/>
        <v>16.951498831951849</v>
      </c>
      <c r="AL96" s="24" t="str">
        <f t="shared" si="40"/>
        <v>0.0296363394096185-0.169581917656383i</v>
      </c>
      <c r="AM96" s="24" t="str">
        <f t="shared" si="41"/>
        <v>1.0000296268861+0.0456790804004561i</v>
      </c>
      <c r="AN96" s="24" t="str">
        <f t="shared" si="42"/>
        <v>-12.5672404934453+56.5549842880005i</v>
      </c>
      <c r="AO96" s="24">
        <f t="shared" si="33"/>
        <v>57.934461086956475</v>
      </c>
      <c r="AP96" s="24">
        <f t="shared" si="34"/>
        <v>1.7894562783398675</v>
      </c>
      <c r="AQ96" s="24">
        <f t="shared" si="35"/>
        <v>102.52829237206193</v>
      </c>
      <c r="AR96" s="24">
        <f t="shared" si="36"/>
        <v>35.258739429243505</v>
      </c>
      <c r="AS96" s="24">
        <f t="shared" si="43"/>
        <v>52.210238261195357</v>
      </c>
      <c r="AT96" s="24">
        <f t="shared" si="44"/>
        <v>97.391251513107036</v>
      </c>
    </row>
    <row r="97" spans="4:46">
      <c r="D97" s="13"/>
      <c r="Y97" s="24">
        <v>95</v>
      </c>
      <c r="Z97" s="24">
        <f t="shared" si="28"/>
        <v>344.8663125345048</v>
      </c>
      <c r="AA97" s="24" t="str">
        <f t="shared" si="37"/>
        <v>2166.858947858i</v>
      </c>
      <c r="AB97" s="24">
        <f t="shared" si="29"/>
        <v>8.870967741935484</v>
      </c>
      <c r="AD97" s="24" t="str">
        <f t="shared" si="30"/>
        <v>0.991092503912306-0.0938066915496344i</v>
      </c>
      <c r="AE97" s="24" t="str">
        <f t="shared" si="31"/>
        <v>0.999999226562317-0.000944653259432597i</v>
      </c>
      <c r="AF97" s="24" t="str">
        <f t="shared" si="45"/>
        <v>7.00445763283029-0.669647065768788i</v>
      </c>
      <c r="AG97" s="24">
        <f t="shared" si="32"/>
        <v>7.0363949521617437</v>
      </c>
      <c r="AH97" s="24">
        <f t="shared" si="38"/>
        <v>-9.5313304826286818E-2</v>
      </c>
      <c r="AI97" s="24">
        <f t="shared" si="27"/>
        <v>-5.4610500979901344</v>
      </c>
      <c r="AJ97" s="24">
        <f t="shared" si="39"/>
        <v>16.947004167529151</v>
      </c>
      <c r="AL97" s="24" t="str">
        <f t="shared" si="40"/>
        <v>0.0262961811126831-0.160014661739392i</v>
      </c>
      <c r="AM97" s="24" t="str">
        <f t="shared" si="41"/>
        <v>1.0000335050454+0.0485768603417658i</v>
      </c>
      <c r="AN97" s="24" t="str">
        <f t="shared" si="42"/>
        <v>-11.4533433677727+53.3645460958161i</v>
      </c>
      <c r="AO97" s="24">
        <f t="shared" si="33"/>
        <v>54.579793461615303</v>
      </c>
      <c r="AP97" s="24">
        <f t="shared" si="34"/>
        <v>1.7822136275422606</v>
      </c>
      <c r="AQ97" s="24">
        <f t="shared" si="35"/>
        <v>102.11331904887199</v>
      </c>
      <c r="AR97" s="24">
        <f t="shared" si="36"/>
        <v>34.740637757989205</v>
      </c>
      <c r="AS97" s="24">
        <f t="shared" si="43"/>
        <v>51.687641925518356</v>
      </c>
      <c r="AT97" s="24">
        <f t="shared" si="44"/>
        <v>96.652268950881847</v>
      </c>
    </row>
    <row r="98" spans="4:46">
      <c r="D98" s="13"/>
      <c r="Y98" s="24">
        <v>96</v>
      </c>
      <c r="Z98" s="24">
        <f t="shared" si="28"/>
        <v>366.74388967956821</v>
      </c>
      <c r="AA98" s="24" t="str">
        <f t="shared" si="37"/>
        <v>2304.31981913255i</v>
      </c>
      <c r="AB98" s="24">
        <f t="shared" si="29"/>
        <v>8.870967741935484</v>
      </c>
      <c r="AD98" s="24" t="str">
        <f t="shared" si="30"/>
        <v>0.989938281628312-0.0996410333245922i</v>
      </c>
      <c r="AE98" s="24" t="str">
        <f t="shared" si="31"/>
        <v>0.999999125319352-0.0010045799444284i</v>
      </c>
      <c r="AF98" s="24" t="str">
        <f t="shared" si="45"/>
        <v>6.99621767277607-0.711295966575554i</v>
      </c>
      <c r="AG98" s="24">
        <f t="shared" si="32"/>
        <v>7.0322829633719133</v>
      </c>
      <c r="AH98" s="24">
        <f t="shared" si="38"/>
        <v>-0.10132050123083641</v>
      </c>
      <c r="AI98" s="24">
        <f t="shared" si="27"/>
        <v>-5.8052370986769892</v>
      </c>
      <c r="AJ98" s="24">
        <f t="shared" si="39"/>
        <v>16.941926749160075</v>
      </c>
      <c r="AL98" s="24" t="str">
        <f t="shared" si="40"/>
        <v>0.0233234264473424-0.150928606387583i</v>
      </c>
      <c r="AM98" s="24" t="str">
        <f t="shared" si="41"/>
        <v>1.00003789085547+0.0516584686680996i</v>
      </c>
      <c r="AN98" s="24" t="str">
        <f t="shared" si="42"/>
        <v>-10.4619702945241+50.3345886973245i</v>
      </c>
      <c r="AO98" s="24">
        <f t="shared" si="33"/>
        <v>51.410345668671894</v>
      </c>
      <c r="AP98" s="24">
        <f t="shared" si="34"/>
        <v>1.7757270347200151</v>
      </c>
      <c r="AQ98" s="24">
        <f t="shared" si="35"/>
        <v>101.74166465673747</v>
      </c>
      <c r="AR98" s="24">
        <f t="shared" si="36"/>
        <v>34.221010479010417</v>
      </c>
      <c r="AS98" s="24">
        <f t="shared" si="43"/>
        <v>51.162937228170492</v>
      </c>
      <c r="AT98" s="24">
        <f t="shared" si="44"/>
        <v>95.936427558060487</v>
      </c>
    </row>
    <row r="99" spans="4:46">
      <c r="D99" s="13"/>
      <c r="Y99" s="24">
        <v>97</v>
      </c>
      <c r="Z99" s="24">
        <f t="shared" si="28"/>
        <v>390.00933326545766</v>
      </c>
      <c r="AA99" s="24" t="str">
        <f t="shared" si="37"/>
        <v>2450.50091243643i</v>
      </c>
      <c r="AB99" s="24">
        <f t="shared" si="29"/>
        <v>8.870967741935484</v>
      </c>
      <c r="AD99" s="24" t="str">
        <f t="shared" si="30"/>
        <v>0.988636217072657-0.105822223191986i</v>
      </c>
      <c r="AE99" s="24" t="str">
        <f t="shared" si="31"/>
        <v>0.999999010823696-0.00106830823199207i</v>
      </c>
      <c r="AF99" s="24" t="str">
        <f t="shared" si="45"/>
        <v>6.98692227096035-0.755420860118561i</v>
      </c>
      <c r="AG99" s="24">
        <f t="shared" si="32"/>
        <v>7.0276413892816132</v>
      </c>
      <c r="AH99" s="24">
        <f t="shared" si="38"/>
        <v>-0.10770089310364711</v>
      </c>
      <c r="AI99" s="24">
        <f t="shared" si="27"/>
        <v>-6.1708066246286126</v>
      </c>
      <c r="AJ99" s="24">
        <f t="shared" si="39"/>
        <v>16.936191838964451</v>
      </c>
      <c r="AL99" s="24" t="str">
        <f t="shared" si="40"/>
        <v>0.0206796010511024-0.142309364243783i</v>
      </c>
      <c r="AM99" s="24" t="str">
        <f t="shared" si="41"/>
        <v>1.00004285076768+0.0549355669469929i</v>
      </c>
      <c r="AN99" s="24" t="str">
        <f t="shared" si="42"/>
        <v>-9.58029059899577+47.4603145506528i</v>
      </c>
      <c r="AO99" s="24">
        <f t="shared" si="33"/>
        <v>48.417594169972062</v>
      </c>
      <c r="AP99" s="24">
        <f t="shared" si="34"/>
        <v>1.7699787249683721</v>
      </c>
      <c r="AQ99" s="24">
        <f t="shared" si="35"/>
        <v>101.41231076863443</v>
      </c>
      <c r="AR99" s="24">
        <f t="shared" si="36"/>
        <v>33.70006411819702</v>
      </c>
      <c r="AS99" s="24">
        <f t="shared" si="43"/>
        <v>50.636255957161467</v>
      </c>
      <c r="AT99" s="24">
        <f t="shared" si="44"/>
        <v>95.241504144005816</v>
      </c>
    </row>
    <row r="100" spans="4:46">
      <c r="D100" s="13"/>
      <c r="Y100" s="24">
        <v>98</v>
      </c>
      <c r="Z100" s="24">
        <f t="shared" si="28"/>
        <v>414.75068655422291</v>
      </c>
      <c r="AA100" s="24" t="str">
        <f t="shared" si="37"/>
        <v>2605.95541990014i</v>
      </c>
      <c r="AB100" s="24">
        <f t="shared" si="29"/>
        <v>8.870967741935484</v>
      </c>
      <c r="AD100" s="24" t="str">
        <f t="shared" si="30"/>
        <v>0.987167846474884-0.112367672578333i</v>
      </c>
      <c r="AE100" s="24" t="str">
        <f t="shared" si="31"/>
        <v>0.999998881340578-0.00113607928407998i</v>
      </c>
      <c r="AF100" s="24" t="str">
        <f t="shared" si="45"/>
        <v>6.97643961505532-0.802146036804123i</v>
      </c>
      <c r="AG100" s="24">
        <f t="shared" si="32"/>
        <v>7.0224032899623321</v>
      </c>
      <c r="AH100" s="24">
        <f t="shared" ref="AH100:AH131" si="46">IMARGUMENT(AF100)</f>
        <v>-0.11447658181928712</v>
      </c>
      <c r="AI100" s="24">
        <f t="shared" si="27"/>
        <v>-6.5590249913292036</v>
      </c>
      <c r="AJ100" s="24">
        <f t="shared" ref="AJ100:AJ131" si="47">20*LOG(AG100,10)</f>
        <v>16.929715339316637</v>
      </c>
      <c r="AL100" s="24" t="str">
        <f t="shared" ref="AL100:AL131" si="48">IMDIV(1,IMSUM(1,IMDIV(AA100,wp2e)))</f>
        <v>0.0183298418363983-0.13414118955284i</v>
      </c>
      <c r="AM100" s="24" t="str">
        <f t="shared" ref="AM100:AM131" si="49">IMDIV(IMSUM(1,IMDIV(AA100,wz2e)),IMSUM(1,IMDIV(AA100,wp1e)))</f>
        <v>1.00004845993184+0.0584205565084863i</v>
      </c>
      <c r="AN100" s="24" t="str">
        <f t="shared" ref="AN100:AN131" si="50">IMPRODUCT($AK$2,AL100,AM100)</f>
        <v>-8.79667791680875+44.736473135025i</v>
      </c>
      <c r="AO100" s="24">
        <f t="shared" si="33"/>
        <v>45.593130742831036</v>
      </c>
      <c r="AP100" s="24">
        <f t="shared" si="34"/>
        <v>1.7649525369588372</v>
      </c>
      <c r="AQ100" s="24">
        <f t="shared" si="35"/>
        <v>101.12433140864881</v>
      </c>
      <c r="AR100" s="24">
        <f t="shared" si="36"/>
        <v>33.177988298372512</v>
      </c>
      <c r="AS100" s="24">
        <f t="shared" ref="AS100:AS131" si="51">AR100+AJ100</f>
        <v>50.107703637689148</v>
      </c>
      <c r="AT100" s="24">
        <f t="shared" ref="AT100:AT131" si="52">AQ100+AI100</f>
        <v>94.565306417319604</v>
      </c>
    </row>
    <row r="101" spans="4:46">
      <c r="D101" s="13"/>
      <c r="Y101" s="24">
        <v>99</v>
      </c>
      <c r="Z101" s="24">
        <f t="shared" si="28"/>
        <v>441.06157808309626</v>
      </c>
      <c r="AA101" s="24" t="str">
        <f t="shared" si="37"/>
        <v>2771.27162697315i</v>
      </c>
      <c r="AB101" s="24">
        <f t="shared" si="29"/>
        <v>8.870967741935484</v>
      </c>
      <c r="AD101" s="24" t="str">
        <f t="shared" si="30"/>
        <v>0.985512529845406-0.119295010458245i</v>
      </c>
      <c r="AE101" s="24" t="str">
        <f t="shared" si="31"/>
        <v>0.999998734908146-0.00120814956072814i</v>
      </c>
      <c r="AF101" s="24" t="str">
        <f t="shared" si="45"/>
        <v>6.96462235676805-0.851597339517124i</v>
      </c>
      <c r="AG101" s="24">
        <f t="shared" si="32"/>
        <v>7.0164936115602634</v>
      </c>
      <c r="AH101" s="24">
        <f t="shared" si="46"/>
        <v>-0.12167076089329884</v>
      </c>
      <c r="AI101" s="24">
        <f t="shared" si="27"/>
        <v>-6.9712210893314097</v>
      </c>
      <c r="AJ101" s="24">
        <f t="shared" si="47"/>
        <v>16.922402682519053</v>
      </c>
      <c r="AL101" s="24" t="str">
        <f t="shared" si="48"/>
        <v>0.0162426502097205-0.126407383185814i</v>
      </c>
      <c r="AM101" s="24" t="str">
        <f t="shared" si="49"/>
        <v>1.00005480333485+0.0621266253695568i</v>
      </c>
      <c r="AN101" s="24" t="str">
        <f t="shared" si="50"/>
        <v>-8.10062789582868+42.1574960225641i</v>
      </c>
      <c r="AO101" s="24">
        <f t="shared" si="33"/>
        <v>42.928715834499236</v>
      </c>
      <c r="AP101" s="24">
        <f t="shared" si="34"/>
        <v>1.7606340295334957</v>
      </c>
      <c r="AQ101" s="24">
        <f t="shared" si="35"/>
        <v>100.87689915938084</v>
      </c>
      <c r="AR101" s="24">
        <f t="shared" si="36"/>
        <v>32.654957944602828</v>
      </c>
      <c r="AS101" s="24">
        <f t="shared" si="51"/>
        <v>49.577360627121877</v>
      </c>
      <c r="AT101" s="24">
        <f t="shared" si="52"/>
        <v>93.905678070049433</v>
      </c>
    </row>
    <row r="102" spans="4:46">
      <c r="D102" s="13"/>
      <c r="Y102" s="24">
        <v>100</v>
      </c>
      <c r="Z102" s="24">
        <f t="shared" si="28"/>
        <v>469.04157598234281</v>
      </c>
      <c r="AA102" s="24" t="str">
        <f t="shared" si="37"/>
        <v>2947.07513866861i</v>
      </c>
      <c r="AB102" s="24">
        <f t="shared" si="29"/>
        <v>8.870967741935484</v>
      </c>
      <c r="AD102" s="24" t="str">
        <f t="shared" si="30"/>
        <v>0.983647230103895-0.126621932554784i</v>
      </c>
      <c r="AE102" s="24" t="str">
        <f t="shared" si="31"/>
        <v>0.999998569307742-0.00128479179038438i</v>
      </c>
      <c r="AF102" s="24" t="str">
        <f t="shared" si="45"/>
        <v>6.95130603504473-0.903901087028617i</v>
      </c>
      <c r="AG102" s="24">
        <f t="shared" si="32"/>
        <v>7.0098282980384612</v>
      </c>
      <c r="AH102" s="24">
        <f t="shared" si="46"/>
        <v>-0.12930772559091816</v>
      </c>
      <c r="AI102" s="24">
        <f t="shared" si="27"/>
        <v>-7.4087869347953994</v>
      </c>
      <c r="AJ102" s="24">
        <f t="shared" si="47"/>
        <v>16.914147605759172</v>
      </c>
      <c r="AL102" s="24" t="str">
        <f t="shared" si="48"/>
        <v>0.0143896401899527-0.119090631223268i</v>
      </c>
      <c r="AM102" s="24" t="str">
        <f t="shared" si="49"/>
        <v>1.00006197708832+0.0660677981344219i</v>
      </c>
      <c r="AN102" s="24" t="str">
        <f t="shared" si="50"/>
        <v>-7.48267419703727+39.7176097930754i</v>
      </c>
      <c r="AO102" s="24">
        <f t="shared" si="33"/>
        <v>40.416320228516675</v>
      </c>
      <c r="AP102" s="24">
        <f t="shared" si="34"/>
        <v>1.7570105662469178</v>
      </c>
      <c r="AQ102" s="24">
        <f t="shared" si="35"/>
        <v>100.66929000583931</v>
      </c>
      <c r="AR102" s="24">
        <f t="shared" si="36"/>
        <v>32.131135398232551</v>
      </c>
      <c r="AS102" s="24">
        <f t="shared" si="51"/>
        <v>49.045283003991727</v>
      </c>
      <c r="AT102" s="24">
        <f t="shared" si="52"/>
        <v>93.260503071043914</v>
      </c>
    </row>
    <row r="103" spans="4:46">
      <c r="D103" s="13"/>
      <c r="Y103" s="24">
        <v>101</v>
      </c>
      <c r="Z103" s="24">
        <f t="shared" si="28"/>
        <v>498.79656477026373</v>
      </c>
      <c r="AA103" s="24" t="str">
        <f t="shared" si="37"/>
        <v>3134.03124703617i</v>
      </c>
      <c r="AB103" s="24">
        <f t="shared" si="29"/>
        <v>8.870967741935484</v>
      </c>
      <c r="AD103" s="24" t="str">
        <f t="shared" si="30"/>
        <v>0.981546279796123-0.134366012796928i</v>
      </c>
      <c r="AE103" s="24" t="str">
        <f t="shared" si="31"/>
        <v>0.99999838203029-0.00136629600176684i</v>
      </c>
      <c r="AF103" s="24" t="str">
        <f t="shared" si="45"/>
        <v>6.93630741066931-0.959182727955506i</v>
      </c>
      <c r="AG103" s="24">
        <f t="shared" si="32"/>
        <v>7.0023133321006261</v>
      </c>
      <c r="AH103" s="24">
        <f t="shared" si="46"/>
        <v>-0.13741287213924241</v>
      </c>
      <c r="AI103" s="24">
        <f t="shared" si="27"/>
        <v>-7.8731776243494069</v>
      </c>
      <c r="AJ103" s="24">
        <f t="shared" si="47"/>
        <v>16.904830804266403</v>
      </c>
      <c r="AL103" s="24" t="str">
        <f t="shared" si="48"/>
        <v>0.0127452882844369-0.112173285192971i</v>
      </c>
      <c r="AM103" s="24" t="str">
        <f t="shared" si="49"/>
        <v>1.00007008988477+0.0702589890593096i</v>
      </c>
      <c r="AN103" s="24" t="str">
        <f t="shared" si="50"/>
        <v>-6.93430508157518+37.4109294914986i</v>
      </c>
      <c r="AO103" s="24">
        <f t="shared" si="33"/>
        <v>38.048156754069424</v>
      </c>
      <c r="AP103" s="24">
        <f t="shared" si="34"/>
        <v>1.7540713814477544</v>
      </c>
      <c r="AQ103" s="24">
        <f t="shared" si="35"/>
        <v>100.50088712163826</v>
      </c>
      <c r="AR103" s="24">
        <f t="shared" si="36"/>
        <v>31.606672443721031</v>
      </c>
      <c r="AS103" s="24">
        <f t="shared" si="51"/>
        <v>48.511503247987434</v>
      </c>
      <c r="AT103" s="24">
        <f t="shared" si="52"/>
        <v>92.627709497288848</v>
      </c>
    </row>
    <row r="104" spans="4:46">
      <c r="D104" s="13"/>
      <c r="Y104" s="24">
        <v>102</v>
      </c>
      <c r="Z104" s="24">
        <f t="shared" si="28"/>
        <v>530.4391460512702</v>
      </c>
      <c r="AA104" s="24" t="str">
        <f t="shared" si="37"/>
        <v>3332.84744882223i</v>
      </c>
      <c r="AB104" s="24">
        <f t="shared" si="29"/>
        <v>8.870967741935484</v>
      </c>
      <c r="AD104" s="24" t="str">
        <f t="shared" si="30"/>
        <v>0.979181137806513-0.142544470653566i</v>
      </c>
      <c r="AE104" s="24" t="str">
        <f t="shared" si="31"/>
        <v>0.999998170238278-0.00145297062114599i</v>
      </c>
      <c r="AF104" s="24" t="str">
        <f t="shared" si="45"/>
        <v>6.91942272944197-1.01756517972134i</v>
      </c>
      <c r="AG104" s="24">
        <f t="shared" si="32"/>
        <v>6.9938437074115036</v>
      </c>
      <c r="AH104" s="24">
        <f t="shared" si="46"/>
        <v>-0.14601268402325224</v>
      </c>
      <c r="AI104" s="24">
        <f t="shared" si="27"/>
        <v>-8.3659105499096178</v>
      </c>
      <c r="AJ104" s="24">
        <f t="shared" si="47"/>
        <v>16.894318456613014</v>
      </c>
      <c r="AL104" s="24" t="str">
        <f t="shared" si="48"/>
        <v>0.0112866901291781-0.10563759158134i</v>
      </c>
      <c r="AM104" s="24" t="str">
        <f t="shared" si="49"/>
        <v>1.00007926464452+0.074716058482224i</v>
      </c>
      <c r="AN104" s="24" t="str">
        <f t="shared" si="50"/>
        <v>-6.4478822535258+35.231535168979i</v>
      </c>
      <c r="AO104" s="24">
        <f t="shared" si="33"/>
        <v>35.816703588107288</v>
      </c>
      <c r="AP104" s="24">
        <f t="shared" si="34"/>
        <v>1.7518076309373245</v>
      </c>
      <c r="AQ104" s="24">
        <f t="shared" si="35"/>
        <v>100.37118377152004</v>
      </c>
      <c r="AR104" s="24">
        <f t="shared" si="36"/>
        <v>31.081712255959431</v>
      </c>
      <c r="AS104" s="24">
        <f t="shared" si="51"/>
        <v>47.976030712572445</v>
      </c>
      <c r="AT104" s="24">
        <f t="shared" si="52"/>
        <v>92.005273221610423</v>
      </c>
    </row>
    <row r="105" spans="4:46">
      <c r="D105" s="13"/>
      <c r="Y105" s="24">
        <v>103</v>
      </c>
      <c r="Z105" s="24">
        <f t="shared" si="28"/>
        <v>564.08906463337905</v>
      </c>
      <c r="AA105" s="24" t="str">
        <f t="shared" si="37"/>
        <v>3544.27612284512i</v>
      </c>
      <c r="AB105" s="24">
        <f t="shared" si="29"/>
        <v>8.870967741935484</v>
      </c>
      <c r="AD105" s="24" t="str">
        <f t="shared" si="30"/>
        <v>0.976520139678021-0.151173887299882i</v>
      </c>
      <c r="AE105" s="24" t="str">
        <f t="shared" si="31"/>
        <v>0.999997930722768-0.00154514363919335i</v>
      </c>
      <c r="AF105" s="24" t="str">
        <f t="shared" si="45"/>
        <v>6.9004259397206-1.07916680223015i</v>
      </c>
      <c r="AG105" s="24">
        <f t="shared" si="32"/>
        <v>6.9843023371418118</v>
      </c>
      <c r="AH105" s="24">
        <f t="shared" si="46"/>
        <v>-0.15513470243187297</v>
      </c>
      <c r="AI105" s="24">
        <f t="shared" si="27"/>
        <v>-8.8885637053642288</v>
      </c>
      <c r="AJ105" s="24">
        <f t="shared" si="47"/>
        <v>16.882460617702804</v>
      </c>
      <c r="AL105" s="24" t="str">
        <f t="shared" si="48"/>
        <v>0.00999332740581506-0.0994658776323582i</v>
      </c>
      <c r="AM105" s="24" t="str">
        <f t="shared" si="49"/>
        <v>1.00008964037797+0.0794558728309019i</v>
      </c>
      <c r="AN105" s="24" t="str">
        <f t="shared" si="50"/>
        <v>-6.01656312985062+33.1735338465409i</v>
      </c>
      <c r="AO105" s="24">
        <f t="shared" si="33"/>
        <v>33.714720520316831</v>
      </c>
      <c r="AP105" s="24">
        <f t="shared" si="34"/>
        <v>1.7502124297071242</v>
      </c>
      <c r="AQ105" s="24">
        <f t="shared" si="35"/>
        <v>100.27978547355549</v>
      </c>
      <c r="AR105" s="24">
        <f t="shared" si="36"/>
        <v>30.556391278481097</v>
      </c>
      <c r="AS105" s="24">
        <f t="shared" si="51"/>
        <v>47.438851896183905</v>
      </c>
      <c r="AT105" s="24">
        <f t="shared" si="52"/>
        <v>91.391221768191258</v>
      </c>
    </row>
    <row r="106" spans="4:46">
      <c r="D106" s="13"/>
      <c r="Y106" s="24">
        <v>104</v>
      </c>
      <c r="Z106" s="24">
        <f t="shared" si="28"/>
        <v>599.87366167768641</v>
      </c>
      <c r="AA106" s="24" t="str">
        <f t="shared" si="37"/>
        <v>3769.11737721726i</v>
      </c>
      <c r="AB106" s="24">
        <f t="shared" si="29"/>
        <v>8.870967741935484</v>
      </c>
      <c r="AD106" s="24" t="str">
        <f t="shared" si="30"/>
        <v>0.973528246667526-0.160269862976159i</v>
      </c>
      <c r="AE106" s="24" t="str">
        <f t="shared" si="31"/>
        <v>0.999997659854777-0.00164316385180153i</v>
      </c>
      <c r="AF106" s="24" t="str">
        <f t="shared" si="45"/>
        <v>6.87906690093541-1.14409895171155i</v>
      </c>
      <c r="AG106" s="24">
        <f t="shared" si="32"/>
        <v>6.9735589076778126</v>
      </c>
      <c r="AH106" s="24">
        <f t="shared" si="46"/>
        <v>-0.16480747746690244</v>
      </c>
      <c r="AI106" s="24">
        <f t="shared" si="27"/>
        <v>-9.4427728910509252</v>
      </c>
      <c r="AJ106" s="24">
        <f t="shared" si="47"/>
        <v>16.869089477318163</v>
      </c>
      <c r="AL106" s="24" t="str">
        <f t="shared" si="48"/>
        <v>0.00884684736333617-0.0936406997788141i</v>
      </c>
      <c r="AM106" s="24" t="str">
        <f t="shared" si="49"/>
        <v>1.00010137429186+0.084496368435636i</v>
      </c>
      <c r="AN106" s="24" t="str">
        <f t="shared" si="50"/>
        <v>-5.63422731382569+31.2311090173057i</v>
      </c>
      <c r="AO106" s="24">
        <f t="shared" si="33"/>
        <v>31.735259379351113</v>
      </c>
      <c r="AP106" s="24">
        <f t="shared" si="34"/>
        <v>1.7492808787446661</v>
      </c>
      <c r="AQ106" s="24">
        <f t="shared" si="35"/>
        <v>100.22641153500528</v>
      </c>
      <c r="AR106" s="24">
        <f t="shared" si="36"/>
        <v>30.030841045002383</v>
      </c>
      <c r="AS106" s="24">
        <f t="shared" si="51"/>
        <v>46.899930522320545</v>
      </c>
      <c r="AT106" s="24">
        <f t="shared" si="52"/>
        <v>90.783638643954362</v>
      </c>
    </row>
    <row r="107" spans="4:46">
      <c r="D107" s="13"/>
      <c r="Y107" s="24">
        <v>105</v>
      </c>
      <c r="Z107" s="24">
        <f t="shared" si="28"/>
        <v>637.92835659466812</v>
      </c>
      <c r="AA107" s="24" t="str">
        <f t="shared" si="37"/>
        <v>4008.22207718884i</v>
      </c>
      <c r="AB107" s="24">
        <f t="shared" si="29"/>
        <v>8.870967741935484</v>
      </c>
      <c r="AD107" s="24" t="str">
        <f t="shared" si="30"/>
        <v>0.97016680054261-0.169846607438865i</v>
      </c>
      <c r="AE107" s="24" t="str">
        <f t="shared" si="31"/>
        <v>0.999997353530296-0.00174740217955736i</v>
      </c>
      <c r="AF107" s="24" t="str">
        <f t="shared" si="45"/>
        <v>6.85506963309133-1.21246305691033i</v>
      </c>
      <c r="AG107" s="24">
        <f t="shared" si="32"/>
        <v>6.961468691224808</v>
      </c>
      <c r="AH107" s="24">
        <f t="shared" si="46"/>
        <v>-0.17506049624129544</v>
      </c>
      <c r="AI107" s="24">
        <f t="shared" si="27"/>
        <v>-10.03022759409204</v>
      </c>
      <c r="AJ107" s="24">
        <f t="shared" si="47"/>
        <v>16.854017485330242</v>
      </c>
      <c r="AL107" s="24" t="str">
        <f t="shared" si="48"/>
        <v>0.00783085634903171-0.0881449603657097i</v>
      </c>
      <c r="AM107" s="24" t="str">
        <f t="shared" si="49"/>
        <v>1.00011464417107+0.0898566193879423i</v>
      </c>
      <c r="AN107" s="24" t="str">
        <f t="shared" si="50"/>
        <v>-5.29540774035516+29.3985595747314i</v>
      </c>
      <c r="AO107" s="24">
        <f t="shared" si="33"/>
        <v>29.87166965881962</v>
      </c>
      <c r="AP107" s="24">
        <f t="shared" si="34"/>
        <v>1.7490100824070829</v>
      </c>
      <c r="AQ107" s="24">
        <f t="shared" si="35"/>
        <v>100.21089604775416</v>
      </c>
      <c r="AR107" s="24">
        <f t="shared" si="36"/>
        <v>29.505189958173268</v>
      </c>
      <c r="AS107" s="24">
        <f t="shared" si="51"/>
        <v>46.359207443503507</v>
      </c>
      <c r="AT107" s="24">
        <f t="shared" si="52"/>
        <v>90.180668453662122</v>
      </c>
    </row>
    <row r="108" spans="4:46">
      <c r="D108" s="13"/>
      <c r="Y108" s="24">
        <v>106</v>
      </c>
      <c r="Z108" s="24">
        <f t="shared" si="28"/>
        <v>678.39715951094945</v>
      </c>
      <c r="AA108" s="24" t="str">
        <f t="shared" si="37"/>
        <v>4262.49506507156i</v>
      </c>
      <c r="AB108" s="24">
        <f t="shared" si="29"/>
        <v>8.870967741935484</v>
      </c>
      <c r="AD108" s="24" t="str">
        <f t="shared" si="30"/>
        <v>0.966393293410228-0.179916455171948i</v>
      </c>
      <c r="AE108" s="24" t="str">
        <f t="shared" si="31"/>
        <v>0.999997007108108-0.00185825307084607i</v>
      </c>
      <c r="AF108" s="24" t="str">
        <f t="shared" si="45"/>
        <v>6.828130673583-1.28434715813783i</v>
      </c>
      <c r="AG108" s="24">
        <f t="shared" si="32"/>
        <v>6.9478713371896692</v>
      </c>
      <c r="AH108" s="24">
        <f t="shared" si="46"/>
        <v>-0.18592408348509676</v>
      </c>
      <c r="AI108" s="24">
        <f t="shared" si="27"/>
        <v>-10.652665293534014</v>
      </c>
      <c r="AJ108" s="24">
        <f t="shared" si="47"/>
        <v>16.837035349024742</v>
      </c>
      <c r="AL108" s="24" t="str">
        <f t="shared" si="48"/>
        <v>0.00693072804641462-0.082961997656525i</v>
      </c>
      <c r="AM108" s="24" t="str">
        <f t="shared" si="49"/>
        <v>1.00012965107223+0.0955569097012753i</v>
      </c>
      <c r="AN108" s="24" t="str">
        <f t="shared" si="50"/>
        <v>-4.9952267258455+27.6703298312172i</v>
      </c>
      <c r="AO108" s="24">
        <f t="shared" si="33"/>
        <v>28.117600235634434</v>
      </c>
      <c r="AP108" s="24">
        <f t="shared" si="34"/>
        <v>1.7493991573914989</v>
      </c>
      <c r="AQ108" s="24">
        <f t="shared" si="35"/>
        <v>100.23318840227532</v>
      </c>
      <c r="AR108" s="24">
        <f t="shared" si="36"/>
        <v>28.979565040401461</v>
      </c>
      <c r="AS108" s="24">
        <f t="shared" si="51"/>
        <v>45.816600389426199</v>
      </c>
      <c r="AT108" s="24">
        <f t="shared" si="52"/>
        <v>89.580523108741303</v>
      </c>
    </row>
    <row r="109" spans="4:46">
      <c r="D109" s="13"/>
      <c r="Y109" s="24">
        <v>107</v>
      </c>
      <c r="Z109" s="24">
        <f t="shared" si="28"/>
        <v>721.43321624585462</v>
      </c>
      <c r="AA109" s="24" t="str">
        <f t="shared" si="37"/>
        <v>4532.89858442727i</v>
      </c>
      <c r="AB109" s="24">
        <f t="shared" si="29"/>
        <v>8.870967741935484</v>
      </c>
      <c r="AD109" s="24" t="str">
        <f t="shared" si="30"/>
        <v>0.962161164595555-0.190489297144295i</v>
      </c>
      <c r="AE109" s="24" t="str">
        <f t="shared" si="31"/>
        <v>0.999996615339473-0.00197613599387599i</v>
      </c>
      <c r="AF109" s="24" t="str">
        <f t="shared" si="45"/>
        <v>6.79791762712062-1.35982185054499i</v>
      </c>
      <c r="AG109" s="24">
        <f t="shared" si="32"/>
        <v>6.9325896698374452</v>
      </c>
      <c r="AH109" s="24">
        <f t="shared" si="46"/>
        <v>-0.19742926976482261</v>
      </c>
      <c r="AI109" s="24">
        <f t="shared" si="27"/>
        <v>-11.311863909874125</v>
      </c>
      <c r="AJ109" s="24">
        <f t="shared" si="47"/>
        <v>16.817909913685295</v>
      </c>
      <c r="AL109" s="24" t="str">
        <f t="shared" si="48"/>
        <v>0.0061334265880963-0.0780756534803567i</v>
      </c>
      <c r="AM109" s="24" t="str">
        <f t="shared" si="49"/>
        <v>1.00014662236993+0.101618810046134i</v>
      </c>
      <c r="AN109" s="24" t="str">
        <f t="shared" si="50"/>
        <v>-4.72933697865975+26.0410320804212i</v>
      </c>
      <c r="AO109" s="24">
        <f t="shared" si="33"/>
        <v>26.466997942177812</v>
      </c>
      <c r="AP109" s="24">
        <f t="shared" si="34"/>
        <v>1.7504492338753856</v>
      </c>
      <c r="AQ109" s="24">
        <f t="shared" si="35"/>
        <v>100.29335335296797</v>
      </c>
      <c r="AR109" s="24">
        <f t="shared" si="36"/>
        <v>28.454093672203658</v>
      </c>
      <c r="AS109" s="24">
        <f t="shared" si="51"/>
        <v>45.272003585888953</v>
      </c>
      <c r="AT109" s="24">
        <f t="shared" si="52"/>
        <v>88.981489443093849</v>
      </c>
    </row>
    <row r="110" spans="4:46">
      <c r="D110" s="13"/>
      <c r="Y110" s="24">
        <v>108</v>
      </c>
      <c r="Z110" s="24">
        <f t="shared" si="28"/>
        <v>767.19938786011153</v>
      </c>
      <c r="AA110" s="24" t="str">
        <f t="shared" si="37"/>
        <v>4820.45592147983i</v>
      </c>
      <c r="AB110" s="24">
        <f t="shared" si="29"/>
        <v>8.870967741935484</v>
      </c>
      <c r="AD110" s="24" t="str">
        <f t="shared" si="30"/>
        <v>0.957419639777864-0.201571921523582i</v>
      </c>
      <c r="AE110" s="24" t="str">
        <f t="shared" si="31"/>
        <v>0.999996172288604-0.00210149702324723i</v>
      </c>
      <c r="AF110" s="24" t="str">
        <f t="shared" si="45"/>
        <v>6.76406801732792-1.43893557743377i</v>
      </c>
      <c r="AG110" s="24">
        <f t="shared" si="32"/>
        <v>6.9154285289519928</v>
      </c>
      <c r="AH110" s="24">
        <f t="shared" si="46"/>
        <v>-0.2096076219317457</v>
      </c>
      <c r="AI110" s="24">
        <f t="shared" si="27"/>
        <v>-12.009632090462819</v>
      </c>
      <c r="AJ110" s="24">
        <f t="shared" si="47"/>
        <v>16.796381944851024</v>
      </c>
      <c r="AL110" s="24" t="str">
        <f t="shared" si="48"/>
        <v>0.00542734432437689-0.0734703222938456i</v>
      </c>
      <c r="AM110" s="24" t="str">
        <f t="shared" si="49"/>
        <v>1.00016581520164+0.108065259349082i</v>
      </c>
      <c r="AN110" s="24" t="str">
        <f t="shared" si="50"/>
        <v>-4.49386749703627+24.5054629618498i</v>
      </c>
      <c r="AO110" s="24">
        <f t="shared" si="33"/>
        <v>24.9141036374081</v>
      </c>
      <c r="AP110" s="24">
        <f t="shared" si="34"/>
        <v>1.752163448953016</v>
      </c>
      <c r="AQ110" s="24">
        <f t="shared" si="35"/>
        <v>100.39157064209388</v>
      </c>
      <c r="AR110" s="24">
        <f t="shared" si="36"/>
        <v>27.928905333789725</v>
      </c>
      <c r="AS110" s="24">
        <f t="shared" si="51"/>
        <v>44.725287278640749</v>
      </c>
      <c r="AT110" s="24">
        <f t="shared" si="52"/>
        <v>88.381938551631066</v>
      </c>
    </row>
    <row r="111" spans="4:46">
      <c r="D111" s="13"/>
      <c r="Y111" s="24">
        <v>109</v>
      </c>
      <c r="Z111" s="24">
        <f t="shared" si="28"/>
        <v>815.86886696986198</v>
      </c>
      <c r="AA111" s="24" t="str">
        <f t="shared" si="37"/>
        <v>5126.25527753029i</v>
      </c>
      <c r="AB111" s="24">
        <f t="shared" si="29"/>
        <v>8.870967741935484</v>
      </c>
      <c r="AD111" s="24" t="str">
        <f t="shared" si="30"/>
        <v>0.952113631225575-0.213167257080677i</v>
      </c>
      <c r="AE111" s="24" t="str">
        <f t="shared" si="31"/>
        <v>0.99999567124274-0.00223481052704025i</v>
      </c>
      <c r="AF111" s="24" t="str">
        <f t="shared" si="45"/>
        <v>6.72618857452614-1.52170922887497i</v>
      </c>
      <c r="AG111" s="24">
        <f t="shared" si="32"/>
        <v>6.8961737012149902</v>
      </c>
      <c r="AH111" s="24">
        <f t="shared" si="46"/>
        <v>-0.22249102998310125</v>
      </c>
      <c r="AI111" s="24">
        <f t="shared" si="27"/>
        <v>-12.747796997550356</v>
      </c>
      <c r="AJ111" s="24">
        <f t="shared" si="47"/>
        <v>16.772163839770194</v>
      </c>
      <c r="AL111" s="24" t="str">
        <f t="shared" si="48"/>
        <v>0.00480215375424288-0.0691309849023106i</v>
      </c>
      <c r="AM111" s="24" t="str">
        <f t="shared" si="49"/>
        <v>1.00018752036357+0.114920651563416i</v>
      </c>
      <c r="AN111" s="24" t="str">
        <f t="shared" si="50"/>
        <v>-4.28537418995892+23.0586147097007i</v>
      </c>
      <c r="AO111" s="24">
        <f t="shared" si="33"/>
        <v>23.453446319856525</v>
      </c>
      <c r="AP111" s="24">
        <f t="shared" si="34"/>
        <v>1.7545469320489717</v>
      </c>
      <c r="AQ111" s="24">
        <f t="shared" si="35"/>
        <v>100.52813416403291</v>
      </c>
      <c r="AR111" s="24">
        <f t="shared" si="36"/>
        <v>27.404133365521037</v>
      </c>
      <c r="AS111" s="24">
        <f t="shared" si="51"/>
        <v>44.176297205291235</v>
      </c>
      <c r="AT111" s="24">
        <f t="shared" si="52"/>
        <v>87.780337166482553</v>
      </c>
    </row>
    <row r="112" spans="4:46">
      <c r="D112" s="13"/>
      <c r="Y112" s="24">
        <v>110</v>
      </c>
      <c r="Z112" s="24">
        <f t="shared" si="28"/>
        <v>867.62583315832671</v>
      </c>
      <c r="AA112" s="24" t="str">
        <f t="shared" si="37"/>
        <v>5451.45388702985i</v>
      </c>
      <c r="AB112" s="24">
        <f t="shared" si="29"/>
        <v>8.870967741935484</v>
      </c>
      <c r="AD112" s="24" t="str">
        <f t="shared" si="30"/>
        <v>0.946183721992114-0.225273515274202i</v>
      </c>
      <c r="AE112" s="24" t="str">
        <f t="shared" si="31"/>
        <v>0.99999510461044-0.00237658096077485i</v>
      </c>
      <c r="AF112" s="24" t="str">
        <f t="shared" si="45"/>
        <v>6.68385512291237-1.60813001700212i</v>
      </c>
      <c r="AG112" s="24">
        <f t="shared" si="32"/>
        <v>6.8745910027917416</v>
      </c>
      <c r="AH112" s="24">
        <f t="shared" si="46"/>
        <v>-0.23611144419801794</v>
      </c>
      <c r="AI112" s="24">
        <f t="shared" si="27"/>
        <v>-13.528189247285075</v>
      </c>
      <c r="AJ112" s="24">
        <f t="shared" si="47"/>
        <v>16.744937306731451</v>
      </c>
      <c r="AL112" s="24" t="str">
        <f t="shared" si="48"/>
        <v>0.00424867294002464-0.0650432296113388i</v>
      </c>
      <c r="AM112" s="24" t="str">
        <f t="shared" si="49"/>
        <v>1.00021206671635+0.122210927938607i</v>
      </c>
      <c r="AN112" s="24" t="str">
        <f t="shared" si="50"/>
        <v>-4.10079499462335+21.6956822101424i</v>
      </c>
      <c r="AO112" s="24">
        <f t="shared" si="33"/>
        <v>22.079835736513473</v>
      </c>
      <c r="AP112" s="24">
        <f t="shared" si="34"/>
        <v>1.7576067815397312</v>
      </c>
      <c r="AQ112" s="24">
        <f t="shared" si="35"/>
        <v>100.70345062579869</v>
      </c>
      <c r="AR112" s="24">
        <f t="shared" si="36"/>
        <v>26.879916762491831</v>
      </c>
      <c r="AS112" s="24">
        <f t="shared" si="51"/>
        <v>43.624854069223282</v>
      </c>
      <c r="AT112" s="24">
        <f t="shared" si="52"/>
        <v>87.175261378513625</v>
      </c>
    </row>
    <row r="113" spans="4:46">
      <c r="D113" s="13"/>
      <c r="Y113" s="24">
        <v>111</v>
      </c>
      <c r="Z113" s="24">
        <f t="shared" si="28"/>
        <v>922.66614996535543</v>
      </c>
      <c r="AA113" s="24" t="str">
        <f t="shared" si="37"/>
        <v>5797.28239689428i</v>
      </c>
      <c r="AB113" s="24">
        <f t="shared" si="29"/>
        <v>8.870967741935484</v>
      </c>
      <c r="AD113" s="24" t="str">
        <f t="shared" si="30"/>
        <v>0.939566261205239-0.237883230457771i</v>
      </c>
      <c r="AE113" s="24" t="str">
        <f t="shared" si="31"/>
        <v>0.999994463806575-0.00252734477498785i</v>
      </c>
      <c r="AF113" s="24" t="str">
        <f t="shared" si="45"/>
        <v>6.63661326083196-1.6981446240013i</v>
      </c>
      <c r="AG113" s="24">
        <f t="shared" si="32"/>
        <v>6.8504255880839366</v>
      </c>
      <c r="AH113" s="24">
        <f t="shared" si="46"/>
        <v>-0.25050055626241297</v>
      </c>
      <c r="AI113" s="24">
        <f t="shared" si="27"/>
        <v>-14.352624639515687</v>
      </c>
      <c r="AJ113" s="24">
        <f t="shared" si="47"/>
        <v>16.714351064344648</v>
      </c>
      <c r="AL113" s="24" t="str">
        <f t="shared" si="48"/>
        <v>0.00375874360996312-0.0611932631621952i</v>
      </c>
      <c r="AM113" s="24" t="str">
        <f t="shared" si="49"/>
        <v>1.00023982616755+0.129963675136147i</v>
      </c>
      <c r="AN113" s="24" t="str">
        <f t="shared" si="50"/>
        <v>-3.9374092251253+20.4120666518646i</v>
      </c>
      <c r="AO113" s="24">
        <f t="shared" si="33"/>
        <v>20.788353864754772</v>
      </c>
      <c r="AP113" s="24">
        <f t="shared" si="34"/>
        <v>1.7613520313530713</v>
      </c>
      <c r="AQ113" s="24">
        <f t="shared" si="35"/>
        <v>100.91803763332524</v>
      </c>
      <c r="AR113" s="24">
        <f t="shared" si="36"/>
        <v>26.356402017742553</v>
      </c>
      <c r="AS113" s="24">
        <f t="shared" si="51"/>
        <v>43.070753082087201</v>
      </c>
      <c r="AT113" s="24">
        <f t="shared" si="52"/>
        <v>86.565412993809559</v>
      </c>
    </row>
    <row r="114" spans="4:46">
      <c r="D114" s="13"/>
      <c r="R114" s="12"/>
      <c r="S114" s="12"/>
      <c r="T114" s="12"/>
      <c r="U114" s="12"/>
      <c r="V114" s="12"/>
      <c r="W114" s="12"/>
      <c r="X114" s="12"/>
      <c r="Y114" s="24">
        <v>112</v>
      </c>
      <c r="Z114" s="24">
        <f t="shared" si="28"/>
        <v>981.19810609251715</v>
      </c>
      <c r="AA114" s="24" t="str">
        <f t="shared" si="37"/>
        <v>6165.04952363294i</v>
      </c>
      <c r="AB114" s="24">
        <f t="shared" si="29"/>
        <v>8.870967741935484</v>
      </c>
      <c r="AD114" s="24" t="str">
        <f t="shared" si="30"/>
        <v>0.932193601876731-0.250982202591387i</v>
      </c>
      <c r="AE114" s="24" t="str">
        <f t="shared" si="31"/>
        <v>0.99999373912226-0.00268767244359977i</v>
      </c>
      <c r="AF114" s="24" t="str">
        <f t="shared" si="45"/>
        <v>6.58398005850076-1.79165165407599i</v>
      </c>
      <c r="AG114" s="24">
        <f t="shared" si="32"/>
        <v>6.8234015754819026</v>
      </c>
      <c r="AH114" s="24">
        <f t="shared" si="46"/>
        <v>-0.26568941820703068</v>
      </c>
      <c r="AI114" s="24">
        <f t="shared" si="27"/>
        <v>-15.22288232454915</v>
      </c>
      <c r="AJ114" s="24">
        <f t="shared" si="47"/>
        <v>16.68001862854036</v>
      </c>
      <c r="AL114" s="24" t="str">
        <f t="shared" si="48"/>
        <v>0.00332512108794743-0.0575679134388065i</v>
      </c>
      <c r="AM114" s="24" t="str">
        <f t="shared" si="49"/>
        <v>1.00027121930618+0.138208229561293i</v>
      </c>
      <c r="AN114" s="24" t="str">
        <f t="shared" si="50"/>
        <v>-3.79280086532285+19.2033764327946i</v>
      </c>
      <c r="AO114" s="24">
        <f t="shared" si="33"/>
        <v>19.574345578424957</v>
      </c>
      <c r="AP114" s="24">
        <f t="shared" si="34"/>
        <v>1.7657936058369554</v>
      </c>
      <c r="AQ114" s="24">
        <f t="shared" si="35"/>
        <v>101.1725211056448</v>
      </c>
      <c r="AR114" s="24">
        <f t="shared" si="36"/>
        <v>25.833745027442738</v>
      </c>
      <c r="AS114" s="24">
        <f t="shared" si="51"/>
        <v>42.513763655983098</v>
      </c>
      <c r="AT114" s="24">
        <f t="shared" si="52"/>
        <v>85.949638781095658</v>
      </c>
    </row>
    <row r="115" spans="4:46">
      <c r="D115" s="13"/>
      <c r="R115" s="12"/>
      <c r="S115" s="12"/>
      <c r="T115" s="12"/>
      <c r="U115" s="12"/>
      <c r="V115" s="12"/>
      <c r="W115" s="12"/>
      <c r="X115" s="12"/>
      <c r="Y115" s="24">
        <v>113</v>
      </c>
      <c r="Z115" s="24">
        <f t="shared" si="28"/>
        <v>1043.443203628628</v>
      </c>
      <c r="AA115" s="24" t="str">
        <f t="shared" si="37"/>
        <v>6556.14700591579i</v>
      </c>
      <c r="AB115" s="24">
        <f t="shared" si="29"/>
        <v>8.870967741935484</v>
      </c>
      <c r="AD115" s="24" t="str">
        <f t="shared" si="30"/>
        <v>0.923994516624258-0.264548353552074i</v>
      </c>
      <c r="AE115" s="24" t="str">
        <f t="shared" si="31"/>
        <v>0.999992919577766-0.00285817062068733i</v>
      </c>
      <c r="AF115" s="24" t="str">
        <f t="shared" si="45"/>
        <v>6.52544702583851-1.888493468594i</v>
      </c>
      <c r="AG115" s="24">
        <f t="shared" si="32"/>
        <v>6.7932220976460691</v>
      </c>
      <c r="AH115" s="24">
        <f t="shared" si="46"/>
        <v>-0.28170799345065395</v>
      </c>
      <c r="AI115" s="24">
        <f t="shared" si="27"/>
        <v>-16.14067907982151</v>
      </c>
      <c r="AJ115" s="24">
        <f t="shared" si="47"/>
        <v>16.641516272987367</v>
      </c>
      <c r="AL115" s="24" t="str">
        <f t="shared" si="48"/>
        <v>0.00294137516355452-0.0541546256168552i</v>
      </c>
      <c r="AM115" s="24" t="str">
        <f t="shared" si="49"/>
        <v>1.00030672177481+0.14697578830333i</v>
      </c>
      <c r="AN115" s="24" t="str">
        <f t="shared" si="50"/>
        <v>-3.66482551011171+18.065425880102i</v>
      </c>
      <c r="AO115" s="24">
        <f t="shared" si="33"/>
        <v>18.43340875283312</v>
      </c>
      <c r="AP115" s="24">
        <f t="shared" si="34"/>
        <v>1.7709442606903214</v>
      </c>
      <c r="AQ115" s="24">
        <f t="shared" si="35"/>
        <v>101.46763189047122</v>
      </c>
      <c r="AR115" s="24">
        <f t="shared" si="36"/>
        <v>25.312113069717618</v>
      </c>
      <c r="AS115" s="24">
        <f t="shared" si="51"/>
        <v>41.953629342704986</v>
      </c>
      <c r="AT115" s="24">
        <f t="shared" si="52"/>
        <v>85.326952810649715</v>
      </c>
    </row>
    <row r="116" spans="4:46">
      <c r="D116" s="13"/>
      <c r="R116" s="12"/>
      <c r="S116" s="12"/>
      <c r="T116" s="12"/>
      <c r="U116" s="12"/>
      <c r="V116" s="12"/>
      <c r="W116" s="12"/>
      <c r="X116" s="12"/>
      <c r="Y116" s="24">
        <v>114</v>
      </c>
      <c r="Z116" s="24">
        <f t="shared" si="28"/>
        <v>1109.6369962786232</v>
      </c>
      <c r="AA116" s="24" t="str">
        <f t="shared" si="37"/>
        <v>6972.05487132073i</v>
      </c>
      <c r="AB116" s="24">
        <f t="shared" si="29"/>
        <v>8.870967741935484</v>
      </c>
      <c r="AD116" s="24" t="str">
        <f t="shared" si="30"/>
        <v>0.914894829828015-0.278550516879157i</v>
      </c>
      <c r="AE116" s="24" t="str">
        <f t="shared" si="31"/>
        <v>0.999991992756182-0.0030394844337533i</v>
      </c>
      <c r="AF116" s="24" t="str">
        <f t="shared" si="45"/>
        <v>6.46048462542538-1.98844754602079i</v>
      </c>
      <c r="AG116" s="24">
        <f t="shared" si="32"/>
        <v>6.7595699004177634</v>
      </c>
      <c r="AH116" s="24">
        <f t="shared" si="46"/>
        <v>-0.29858463518427769</v>
      </c>
      <c r="AI116" s="24">
        <f t="shared" si="27"/>
        <v>-17.107639423512499</v>
      </c>
      <c r="AJ116" s="24">
        <f t="shared" si="47"/>
        <v>16.598381268484598</v>
      </c>
      <c r="AL116" s="24" t="str">
        <f t="shared" si="48"/>
        <v>0.00260180101778403-0.0509414531521028i</v>
      </c>
      <c r="AM116" s="24" t="str">
        <f t="shared" si="49"/>
        <v>1.00034687147555+0.156299527101544i</v>
      </c>
      <c r="AN116" s="24" t="str">
        <f t="shared" si="50"/>
        <v>-3.55158066010477+16.9942322494219i</v>
      </c>
      <c r="AO116" s="24">
        <f t="shared" si="33"/>
        <v>17.361384015467245</v>
      </c>
      <c r="AP116" s="24">
        <f t="shared" si="34"/>
        <v>1.7768185072259155</v>
      </c>
      <c r="AQ116" s="24">
        <f t="shared" si="35"/>
        <v>101.80420142478013</v>
      </c>
      <c r="AR116" s="24">
        <f t="shared" si="36"/>
        <v>24.791686866488707</v>
      </c>
      <c r="AS116" s="24">
        <f t="shared" si="51"/>
        <v>41.390068134973305</v>
      </c>
      <c r="AT116" s="24">
        <f t="shared" si="52"/>
        <v>84.696562001267637</v>
      </c>
    </row>
    <row r="117" spans="4:46">
      <c r="D117" s="13"/>
      <c r="R117" s="12"/>
      <c r="S117" s="12"/>
      <c r="T117" s="12"/>
      <c r="U117" s="12"/>
      <c r="V117" s="12"/>
      <c r="W117" s="12"/>
      <c r="X117" s="12"/>
      <c r="Y117" s="24">
        <v>115</v>
      </c>
      <c r="Z117" s="24">
        <f t="shared" si="28"/>
        <v>1180.0299807678607</v>
      </c>
      <c r="AA117" s="24" t="str">
        <f t="shared" si="37"/>
        <v>7414.34703719203i</v>
      </c>
      <c r="AB117" s="24">
        <f t="shared" si="29"/>
        <v>8.870967741935484</v>
      </c>
      <c r="AD117" s="24" t="str">
        <f t="shared" si="30"/>
        <v>0.904818306362041-0.292947191715769i</v>
      </c>
      <c r="AE117" s="24" t="str">
        <f t="shared" si="31"/>
        <v>0.999990944615298-0.00323229992208707i</v>
      </c>
      <c r="AF117" s="24" t="str">
        <f t="shared" si="45"/>
        <v>6.38854861713946-2.09121758624494i</v>
      </c>
      <c r="AG117" s="24">
        <f t="shared" si="32"/>
        <v>6.7221086294833574</v>
      </c>
      <c r="AH117" s="24">
        <f t="shared" si="46"/>
        <v>-0.31634548888189945</v>
      </c>
      <c r="AI117" s="24">
        <f t="shared" si="27"/>
        <v>-18.125261380935545</v>
      </c>
      <c r="AJ117" s="24">
        <f t="shared" si="47"/>
        <v>16.550110528048521</v>
      </c>
      <c r="AL117" s="24" t="str">
        <f t="shared" si="48"/>
        <v>0.0023013393423396-0.0479170447708433i</v>
      </c>
      <c r="AM117" s="24" t="str">
        <f t="shared" si="49"/>
        <v>1.00039227671933+0.166214725780151i</v>
      </c>
      <c r="AN117" s="24" t="str">
        <f t="shared" si="50"/>
        <v>-3.45137908219769+15.9860113911315i</v>
      </c>
      <c r="AO117" s="24">
        <f t="shared" si="33"/>
        <v>16.354344308666668</v>
      </c>
      <c r="AP117" s="24">
        <f t="shared" si="34"/>
        <v>1.783432516690975</v>
      </c>
      <c r="AQ117" s="24">
        <f t="shared" si="35"/>
        <v>102.18315625278761</v>
      </c>
      <c r="AR117" s="24">
        <f t="shared" si="36"/>
        <v>24.272662734629613</v>
      </c>
      <c r="AS117" s="24">
        <f t="shared" si="51"/>
        <v>40.822773262678133</v>
      </c>
      <c r="AT117" s="24">
        <f t="shared" si="52"/>
        <v>84.057894871852071</v>
      </c>
    </row>
    <row r="118" spans="4:46">
      <c r="D118" s="13"/>
      <c r="R118" s="12"/>
      <c r="S118" s="12"/>
      <c r="T118" s="12"/>
      <c r="U118" s="12"/>
      <c r="V118" s="12"/>
      <c r="W118" s="12"/>
      <c r="X118" s="12"/>
      <c r="Y118" s="24">
        <v>116</v>
      </c>
      <c r="Z118" s="24">
        <f t="shared" si="28"/>
        <v>1254.8885447951977</v>
      </c>
      <c r="AA118" s="24" t="str">
        <f t="shared" si="37"/>
        <v>7884.69726680516i</v>
      </c>
      <c r="AB118" s="24">
        <f t="shared" si="29"/>
        <v>8.870967741935484</v>
      </c>
      <c r="AD118" s="24" t="str">
        <f t="shared" si="30"/>
        <v>0.893687836281429-0.307685304810912i</v>
      </c>
      <c r="AE118" s="24" t="str">
        <f t="shared" si="31"/>
        <v>0.999989759274891-0.00343734662934143i</v>
      </c>
      <c r="AF118" s="24" t="str">
        <f t="shared" si="45"/>
        <v>6.30908851561686-2.19642467244172i</v>
      </c>
      <c r="AG118" s="24">
        <f t="shared" si="32"/>
        <v>6.6804849554204715</v>
      </c>
      <c r="AH118" s="24">
        <f t="shared" si="46"/>
        <v>-0.33501381801557067</v>
      </c>
      <c r="AI118" s="24">
        <f t="shared" si="27"/>
        <v>-19.194877850856024</v>
      </c>
      <c r="AJ118" s="24">
        <f t="shared" si="47"/>
        <v>16.496159805853367</v>
      </c>
      <c r="AL118" s="24" t="str">
        <f t="shared" si="48"/>
        <v>0.00203550482659259-0.0450706284257665i</v>
      </c>
      <c r="AM118" s="24" t="str">
        <f t="shared" si="49"/>
        <v>1.00044362544167+0.17675890162304i</v>
      </c>
      <c r="AN118" s="24" t="str">
        <f t="shared" si="50"/>
        <v>-3.36272496060084+15.0371724049323i</v>
      </c>
      <c r="AO118" s="24">
        <f t="shared" si="33"/>
        <v>15.408584396248258</v>
      </c>
      <c r="AP118" s="24">
        <f t="shared" si="34"/>
        <v>1.7908040008107085</v>
      </c>
      <c r="AQ118" s="24">
        <f t="shared" si="35"/>
        <v>102.60551118159606</v>
      </c>
      <c r="AR118" s="24">
        <f t="shared" si="36"/>
        <v>23.755254828699663</v>
      </c>
      <c r="AS118" s="24">
        <f t="shared" si="51"/>
        <v>40.251414634553029</v>
      </c>
      <c r="AT118" s="24">
        <f t="shared" si="52"/>
        <v>83.41063333074004</v>
      </c>
    </row>
    <row r="119" spans="4:46">
      <c r="D119" s="13"/>
      <c r="R119" s="12"/>
      <c r="S119" s="12"/>
      <c r="T119" s="12"/>
      <c r="U119" s="12"/>
      <c r="V119" s="12"/>
      <c r="W119" s="12"/>
      <c r="X119" s="12"/>
      <c r="Y119" s="24">
        <v>117</v>
      </c>
      <c r="Z119" s="24">
        <f t="shared" si="28"/>
        <v>1334.4959751221782</v>
      </c>
      <c r="AA119" s="24" t="str">
        <f t="shared" si="37"/>
        <v>8384.88550337796i</v>
      </c>
      <c r="AB119" s="24">
        <f t="shared" si="29"/>
        <v>8.870967741935484</v>
      </c>
      <c r="AD119" s="24" t="str">
        <f t="shared" si="30"/>
        <v>0.881426950684251-0.322699039450099i</v>
      </c>
      <c r="AE119" s="24" t="str">
        <f t="shared" si="31"/>
        <v>0.999988418776138-0.00365540036001361i</v>
      </c>
      <c r="AF119" s="24" t="str">
        <f t="shared" si="45"/>
        <v>6.22155841196074-2.30359891073178i</v>
      </c>
      <c r="AG119" s="24">
        <f t="shared" si="32"/>
        <v>6.6343316931672991</v>
      </c>
      <c r="AH119" s="24">
        <f t="shared" si="46"/>
        <v>-0.35460925521373832</v>
      </c>
      <c r="AI119" s="24">
        <f t="shared" si="27"/>
        <v>-20.317613700024687</v>
      </c>
      <c r="AJ119" s="24">
        <f t="shared" si="47"/>
        <v>16.435943618348571</v>
      </c>
      <c r="AL119" s="24" t="str">
        <f t="shared" si="48"/>
        <v>0.00180032223159799-0.0423919930111856i</v>
      </c>
      <c r="AM119" s="24" t="str">
        <f t="shared" si="49"/>
        <v>1.00050169562459+0.187971951188483i</v>
      </c>
      <c r="AN119" s="24" t="str">
        <f t="shared" si="50"/>
        <v>-3.2842925780033+14.144311547534i</v>
      </c>
      <c r="AO119" s="24">
        <f t="shared" si="33"/>
        <v>14.520610417321691</v>
      </c>
      <c r="AP119" s="24">
        <f t="shared" si="34"/>
        <v>1.7989520641529697</v>
      </c>
      <c r="AQ119" s="24">
        <f t="shared" si="35"/>
        <v>103.07236082231287</v>
      </c>
      <c r="AR119" s="24">
        <f t="shared" si="36"/>
        <v>23.239697472325901</v>
      </c>
      <c r="AS119" s="24">
        <f t="shared" si="51"/>
        <v>39.675641090674475</v>
      </c>
      <c r="AT119" s="24">
        <f t="shared" si="52"/>
        <v>82.754747122288194</v>
      </c>
    </row>
    <row r="120" spans="4:46">
      <c r="D120" s="13"/>
      <c r="R120" s="12"/>
      <c r="S120" s="12"/>
      <c r="T120" s="12"/>
      <c r="U120" s="12"/>
      <c r="V120" s="12"/>
      <c r="W120" s="12"/>
      <c r="X120" s="12"/>
      <c r="Y120" s="24">
        <v>118</v>
      </c>
      <c r="Z120" s="24">
        <f t="shared" si="28"/>
        <v>1419.1535296132129</v>
      </c>
      <c r="AA120" s="24" t="str">
        <f t="shared" si="37"/>
        <v>8916.80460589779i</v>
      </c>
      <c r="AB120" s="24">
        <f t="shared" si="29"/>
        <v>8.870967741935484</v>
      </c>
      <c r="AD120" s="24" t="str">
        <f t="shared" si="30"/>
        <v>0.867961695265223-0.337908806433514i</v>
      </c>
      <c r="AE120" s="24" t="str">
        <f t="shared" si="31"/>
        <v>0.999986902809581-0.00388728611011441i</v>
      </c>
      <c r="AF120" s="24" t="str">
        <f t="shared" si="45"/>
        <v>6.12543034900393-2.41217208390679i</v>
      </c>
      <c r="AG120" s="24">
        <f t="shared" si="32"/>
        <v>6.5832720681191379</v>
      </c>
      <c r="AH120" s="24">
        <f t="shared" si="46"/>
        <v>-0.37514698523207757</v>
      </c>
      <c r="AI120" s="24">
        <f t="shared" si="27"/>
        <v>-21.494338950854669</v>
      </c>
      <c r="AJ120" s="24">
        <f t="shared" si="47"/>
        <v>16.36883607264895</v>
      </c>
      <c r="AL120" s="24" t="str">
        <f t="shared" si="48"/>
        <v>0.00159226932102394-0.0398714684885479i</v>
      </c>
      <c r="AM120" s="24" t="str">
        <f t="shared" si="49"/>
        <v>1.00056736708251+0.199896301094951i</v>
      </c>
      <c r="AN120" s="24" t="str">
        <f t="shared" si="50"/>
        <v>-3.21490728337156+13.3042056105307i</v>
      </c>
      <c r="AO120" s="24">
        <f t="shared" si="33"/>
        <v>13.687129566419395</v>
      </c>
      <c r="AP120" s="24">
        <f t="shared" si="34"/>
        <v>1.8078970233590794</v>
      </c>
      <c r="AQ120" s="24">
        <f t="shared" si="35"/>
        <v>103.58486923273965</v>
      </c>
      <c r="AR120" s="24">
        <f t="shared" si="36"/>
        <v>22.726247568707475</v>
      </c>
      <c r="AS120" s="24">
        <f t="shared" si="51"/>
        <v>39.095083641356425</v>
      </c>
      <c r="AT120" s="24">
        <f t="shared" si="52"/>
        <v>82.09053028188498</v>
      </c>
    </row>
    <row r="121" spans="4:46">
      <c r="D121" s="13"/>
      <c r="R121" s="12"/>
      <c r="S121" s="12"/>
      <c r="T121" s="12"/>
      <c r="U121" s="12"/>
      <c r="V121" s="12"/>
      <c r="W121" s="12"/>
      <c r="X121" s="12"/>
      <c r="Y121" s="24">
        <v>119</v>
      </c>
      <c r="Z121" s="24">
        <f t="shared" si="28"/>
        <v>1509.1815772837017</v>
      </c>
      <c r="AA121" s="24" t="str">
        <f t="shared" si="37"/>
        <v>9482.46751225507i</v>
      </c>
      <c r="AB121" s="24">
        <f t="shared" si="29"/>
        <v>8.870967741935484</v>
      </c>
      <c r="AD121" s="24" t="str">
        <f t="shared" si="30"/>
        <v>0.853222873707659-0.353220448572485i</v>
      </c>
      <c r="AE121" s="24" t="str">
        <f t="shared" si="31"/>
        <v>0.999985188407467-0.0041338811829383i</v>
      </c>
      <c r="AF121" s="24" t="str">
        <f t="shared" si="45"/>
        <v>6.02021033683905-2.52147197222924i</v>
      </c>
      <c r="AG121" s="24">
        <f t="shared" si="32"/>
        <v>6.5269252643585061</v>
      </c>
      <c r="AH121" s="24">
        <f t="shared" si="46"/>
        <v>-0.39663687124947167</v>
      </c>
      <c r="AI121" s="24">
        <f t="shared" si="27"/>
        <v>-22.72561872186855</v>
      </c>
      <c r="AJ121" s="24">
        <f t="shared" si="47"/>
        <v>16.294172797928951</v>
      </c>
      <c r="AL121" s="24" t="str">
        <f t="shared" si="48"/>
        <v>0.0014082259718561-0.0374999049527901i</v>
      </c>
      <c r="AM121" s="24" t="str">
        <f t="shared" si="49"/>
        <v>1.00064163479059+0.212577068342008i</v>
      </c>
      <c r="AN121" s="24" t="str">
        <f t="shared" si="50"/>
        <v>-3.15352852055939+12.5138049454277i</v>
      </c>
      <c r="AO121" s="24">
        <f t="shared" si="33"/>
        <v>12.905039958953719</v>
      </c>
      <c r="AP121" s="24">
        <f t="shared" si="34"/>
        <v>1.817660187773213</v>
      </c>
      <c r="AQ121" s="24">
        <f t="shared" si="35"/>
        <v>104.14425734836183</v>
      </c>
      <c r="AR121" s="24">
        <f t="shared" si="36"/>
        <v>22.215187072485367</v>
      </c>
      <c r="AS121" s="24">
        <f t="shared" si="51"/>
        <v>38.509359870414315</v>
      </c>
      <c r="AT121" s="24">
        <f t="shared" si="52"/>
        <v>81.418638626493276</v>
      </c>
    </row>
    <row r="122" spans="4:46">
      <c r="D122" s="13"/>
      <c r="R122" s="12"/>
      <c r="S122" s="12"/>
      <c r="T122" s="12"/>
      <c r="U122" s="12"/>
      <c r="V122" s="12"/>
      <c r="W122" s="12"/>
      <c r="X122" s="12"/>
      <c r="Y122" s="24">
        <v>120</v>
      </c>
      <c r="Z122" s="24">
        <f t="shared" si="28"/>
        <v>1604.9208106703452</v>
      </c>
      <c r="AA122" s="24" t="str">
        <f t="shared" si="37"/>
        <v>10084.0148567907i</v>
      </c>
      <c r="AB122" s="24">
        <f t="shared" si="29"/>
        <v>8.870967741935484</v>
      </c>
      <c r="AD122" s="24" t="str">
        <f t="shared" si="30"/>
        <v>0.837148652081249-0.368524784896428i</v>
      </c>
      <c r="AE122" s="24" t="str">
        <f t="shared" si="31"/>
        <v>0.999983249595843-0.00439611850151181i</v>
      </c>
      <c r="AF122" s="24" t="str">
        <f t="shared" si="45"/>
        <v>5.9054569455616-2.63071909940912i</v>
      </c>
      <c r="AG122" s="24">
        <f t="shared" si="32"/>
        <v>6.4649133571825752</v>
      </c>
      <c r="AH122" s="24">
        <f t="shared" si="46"/>
        <v>-0.41908254211440293</v>
      </c>
      <c r="AI122" s="24">
        <f t="shared" si="27"/>
        <v>-24.011660930768866</v>
      </c>
      <c r="AJ122" s="24">
        <f t="shared" si="47"/>
        <v>16.21125417675006</v>
      </c>
      <c r="AL122" s="24" t="str">
        <f t="shared" si="48"/>
        <v>0.00124542884123945-0.0352686510691983i</v>
      </c>
      <c r="AM122" s="24" t="str">
        <f t="shared" si="49"/>
        <v>1.00072562395732+0.226062230765016i</v>
      </c>
      <c r="AN122" s="24" t="str">
        <f t="shared" si="50"/>
        <v>-3.09923470974706+11.7702262791255i</v>
      </c>
      <c r="AO122" s="24">
        <f t="shared" si="33"/>
        <v>12.171420724299916</v>
      </c>
      <c r="AP122" s="24">
        <f t="shared" si="34"/>
        <v>1.8282635955712421</v>
      </c>
      <c r="AQ122" s="24">
        <f t="shared" si="35"/>
        <v>104.75178786364499</v>
      </c>
      <c r="AR122" s="24">
        <f t="shared" si="36"/>
        <v>21.706825495105107</v>
      </c>
      <c r="AS122" s="24">
        <f t="shared" si="51"/>
        <v>37.918079671855168</v>
      </c>
      <c r="AT122" s="24">
        <f t="shared" si="52"/>
        <v>80.740126932876123</v>
      </c>
    </row>
    <row r="123" spans="4:46">
      <c r="D123" s="13"/>
      <c r="R123" s="12"/>
      <c r="S123" s="12"/>
      <c r="T123" s="12"/>
      <c r="U123" s="12"/>
      <c r="V123" s="12"/>
      <c r="W123" s="12"/>
      <c r="X123" s="12"/>
      <c r="Y123" s="24">
        <v>121</v>
      </c>
      <c r="Z123" s="24">
        <f t="shared" si="28"/>
        <v>1706.7335351116335</v>
      </c>
      <c r="AA123" s="24" t="str">
        <f t="shared" si="37"/>
        <v>10723.7230710841i</v>
      </c>
      <c r="AB123" s="24">
        <f t="shared" si="29"/>
        <v>8.870967741935484</v>
      </c>
      <c r="AD123" s="24" t="str">
        <f t="shared" si="30"/>
        <v>0.819687487333472-0.383697611502054i</v>
      </c>
      <c r="AE123" s="24" t="str">
        <f t="shared" si="31"/>
        <v>0.999981057001112-0.00467499012999858i</v>
      </c>
      <c r="AF123" s="24" t="str">
        <f t="shared" si="45"/>
        <v>5.78080221171108-2.73902673853013i</v>
      </c>
      <c r="AG123" s="24">
        <f t="shared" si="32"/>
        <v>6.3968696786245935</v>
      </c>
      <c r="AH123" s="24">
        <f t="shared" si="46"/>
        <v>-0.44248046507881644</v>
      </c>
      <c r="AI123" s="24">
        <f t="shared" si="27"/>
        <v>-25.35226316600199</v>
      </c>
      <c r="AJ123" s="24">
        <f t="shared" si="47"/>
        <v>16.119350061308467</v>
      </c>
      <c r="AL123" s="24" t="str">
        <f t="shared" si="48"/>
        <v>0.00110143101838875-0.033169532226133i</v>
      </c>
      <c r="AM123" s="24" t="str">
        <f t="shared" si="49"/>
        <v>1.00082060706958+0.240402808259086i</v>
      </c>
      <c r="AN123" s="24" t="str">
        <f t="shared" si="50"/>
        <v>-3.0512097912573+11.0707454350596i</v>
      </c>
      <c r="AO123" s="24">
        <f t="shared" si="33"/>
        <v>11.483522355016225</v>
      </c>
      <c r="AP123" s="24">
        <f t="shared" si="34"/>
        <v>1.8397296991929115</v>
      </c>
      <c r="AQ123" s="24">
        <f t="shared" si="35"/>
        <v>105.40874720862634</v>
      </c>
      <c r="AR123" s="24">
        <f t="shared" si="36"/>
        <v>21.201502403596997</v>
      </c>
      <c r="AS123" s="24">
        <f t="shared" si="51"/>
        <v>37.320852464905464</v>
      </c>
      <c r="AT123" s="24">
        <f t="shared" si="52"/>
        <v>80.056484042624348</v>
      </c>
    </row>
    <row r="124" spans="4:46">
      <c r="D124" s="13"/>
      <c r="R124" s="12"/>
      <c r="S124" s="12"/>
      <c r="T124" s="12"/>
      <c r="U124" s="12"/>
      <c r="V124" s="12"/>
      <c r="W124" s="12"/>
      <c r="X124" s="12"/>
      <c r="Y124" s="24">
        <v>122</v>
      </c>
      <c r="Z124" s="24">
        <f t="shared" si="28"/>
        <v>1815.0050398174897</v>
      </c>
      <c r="AA124" s="24" t="str">
        <f t="shared" si="37"/>
        <v>11404.0129986382i</v>
      </c>
      <c r="AB124" s="24">
        <f t="shared" si="29"/>
        <v>8.870967741935484</v>
      </c>
      <c r="AD124" s="24" t="str">
        <f t="shared" si="30"/>
        <v>0.80080130805897-0.398600279831648i</v>
      </c>
      <c r="AE124" s="24" t="str">
        <f t="shared" si="31"/>
        <v>0.999978577405133-0.00497155101707862i</v>
      </c>
      <c r="AF124" s="24" t="str">
        <f t="shared" si="45"/>
        <v>5.64597434572007-2.845405040219i</v>
      </c>
      <c r="AG124" s="24">
        <f t="shared" si="32"/>
        <v>6.3224485885954715</v>
      </c>
      <c r="AH124" s="24">
        <f t="shared" si="46"/>
        <v>-0.46681903593475321</v>
      </c>
      <c r="AI124" s="24">
        <f t="shared" si="27"/>
        <v>-26.746760555427276</v>
      </c>
      <c r="AJ124" s="24">
        <f t="shared" si="47"/>
        <v>16.017706130735892</v>
      </c>
      <c r="AL124" s="24" t="str">
        <f t="shared" si="48"/>
        <v>0.000974066141145989-0.0311948286787836i</v>
      </c>
      <c r="AM124" s="24" t="str">
        <f t="shared" si="49"/>
        <v>1.00092802316816+0.255653055446552i</v>
      </c>
      <c r="AN124" s="24" t="str">
        <f t="shared" si="50"/>
        <v>-3.00873125818489+10.4127900517844i</v>
      </c>
      <c r="AO124" s="24">
        <f t="shared" si="33"/>
        <v>10.838757329441369</v>
      </c>
      <c r="AP124" s="24">
        <f t="shared" si="34"/>
        <v>1.8520809937892904</v>
      </c>
      <c r="AQ124" s="24">
        <f t="shared" si="35"/>
        <v>106.11642426052158</v>
      </c>
      <c r="AR124" s="24">
        <f t="shared" si="36"/>
        <v>20.699589858248707</v>
      </c>
      <c r="AS124" s="24">
        <f t="shared" si="51"/>
        <v>36.717295988984603</v>
      </c>
      <c r="AT124" s="24">
        <f t="shared" si="52"/>
        <v>79.369663705094311</v>
      </c>
    </row>
    <row r="125" spans="4:46">
      <c r="D125" s="13"/>
      <c r="R125" s="12"/>
      <c r="S125" s="12"/>
      <c r="T125" s="12"/>
      <c r="U125" s="12"/>
      <c r="V125" s="12"/>
      <c r="W125" s="12"/>
      <c r="X125" s="12"/>
      <c r="Y125" s="24">
        <v>123</v>
      </c>
      <c r="Z125" s="24">
        <f t="shared" si="28"/>
        <v>1930.1450559166665</v>
      </c>
      <c r="AA125" s="24" t="str">
        <f t="shared" si="37"/>
        <v>12127.4590560609i</v>
      </c>
      <c r="AB125" s="24">
        <f t="shared" si="29"/>
        <v>8.870967741935484</v>
      </c>
      <c r="AD125" s="24" t="str">
        <f t="shared" si="30"/>
        <v>0.780468835398284-0.413080966904207i</v>
      </c>
      <c r="AE125" s="24" t="str">
        <f t="shared" si="31"/>
        <v>0.99997577324208-0.0052869229750955i</v>
      </c>
      <c r="AF125" s="24" t="str">
        <f t="shared" si="45"/>
        <v>5.50082143974535-2.94877010063953i</v>
      </c>
      <c r="AG125" s="24">
        <f t="shared" si="32"/>
        <v>6.2413365250071049</v>
      </c>
      <c r="AH125" s="24">
        <f t="shared" si="46"/>
        <v>-0.49207772578973608</v>
      </c>
      <c r="AI125" s="24">
        <f t="shared" si="27"/>
        <v>-28.193976880147702</v>
      </c>
      <c r="AJ125" s="24">
        <f t="shared" si="47"/>
        <v>15.905551996477133</v>
      </c>
      <c r="AL125" s="24" t="str">
        <f t="shared" si="48"/>
        <v>0.000861416504839658-0.0293372539008825i</v>
      </c>
      <c r="AM125" s="24" t="str">
        <f t="shared" si="49"/>
        <v>1.0010494996456+0.271870666503157i</v>
      </c>
      <c r="AN125" s="24" t="str">
        <f t="shared" si="50"/>
        <v>-2.9711595203079+9.79393237137275i</v>
      </c>
      <c r="AO125" s="24">
        <f t="shared" si="33"/>
        <v>10.23469101586068</v>
      </c>
      <c r="AP125" s="24">
        <f t="shared" si="34"/>
        <v>1.8653395825980057</v>
      </c>
      <c r="AQ125" s="24">
        <f t="shared" si="35"/>
        <v>106.87608544156035</v>
      </c>
      <c r="AR125" s="24">
        <f t="shared" si="36"/>
        <v>20.201494717924035</v>
      </c>
      <c r="AS125" s="24">
        <f t="shared" si="51"/>
        <v>36.107046714401164</v>
      </c>
      <c r="AT125" s="24">
        <f t="shared" si="52"/>
        <v>78.682108561412647</v>
      </c>
    </row>
    <row r="126" spans="4:46">
      <c r="D126" s="13"/>
      <c r="R126" s="12"/>
      <c r="S126" s="12"/>
      <c r="T126" s="12"/>
      <c r="U126" s="12"/>
      <c r="V126" s="12"/>
      <c r="W126" s="12"/>
      <c r="X126" s="12"/>
      <c r="Y126" s="24">
        <v>124</v>
      </c>
      <c r="Z126" s="24">
        <f t="shared" si="28"/>
        <v>2052.58930699948</v>
      </c>
      <c r="AA126" s="24" t="str">
        <f t="shared" si="37"/>
        <v>12896.7989754131i</v>
      </c>
      <c r="AB126" s="24">
        <f t="shared" si="29"/>
        <v>8.870967741935484</v>
      </c>
      <c r="AD126" s="24" t="str">
        <f t="shared" si="30"/>
        <v>0.758688888972184-0.426976732492858i</v>
      </c>
      <c r="AE126" s="24" t="str">
        <f t="shared" si="31"/>
        <v>0.999972602029505-0.00562229890958428i</v>
      </c>
      <c r="AF126" s="24" t="str">
        <f t="shared" si="45"/>
        <v>5.34533506867109-3.04795864746685i</v>
      </c>
      <c r="AG126" s="24">
        <f t="shared" si="32"/>
        <v>6.1532640860792673</v>
      </c>
      <c r="AH126" s="24">
        <f t="shared" si="46"/>
        <v>-0.51822633025727183</v>
      </c>
      <c r="AI126" s="24">
        <f t="shared" si="27"/>
        <v>-29.692181556294429</v>
      </c>
      <c r="AJ126" s="24">
        <f t="shared" si="47"/>
        <v>15.7821110911829</v>
      </c>
      <c r="AL126" s="24" t="str">
        <f t="shared" si="48"/>
        <v>0.000761784736207608-0.027589933313136i</v>
      </c>
      <c r="AM126" s="24" t="str">
        <f t="shared" si="49"/>
        <v>1.0011868768962+0.289116992901418i</v>
      </c>
      <c r="AN126" s="24" t="str">
        <f t="shared" si="50"/>
        <v>-2.93792845679012+9.2118821539371i</v>
      </c>
      <c r="AO126" s="24">
        <f t="shared" si="33"/>
        <v>9.6690328593526882</v>
      </c>
      <c r="AP126" s="24">
        <f t="shared" si="34"/>
        <v>1.879526673758152</v>
      </c>
      <c r="AQ126" s="24">
        <f t="shared" si="35"/>
        <v>107.6889458886041</v>
      </c>
      <c r="AR126" s="24">
        <f t="shared" si="36"/>
        <v>19.707660722917531</v>
      </c>
      <c r="AS126" s="24">
        <f t="shared" si="51"/>
        <v>35.489771814100429</v>
      </c>
      <c r="AT126" s="24">
        <f t="shared" si="52"/>
        <v>77.996764332309667</v>
      </c>
    </row>
    <row r="127" spans="4:46">
      <c r="D127" s="13"/>
      <c r="R127" s="12"/>
      <c r="S127" s="12"/>
      <c r="T127" s="12"/>
      <c r="U127" s="12"/>
      <c r="V127" s="12"/>
      <c r="W127" s="12"/>
      <c r="X127" s="12"/>
      <c r="Y127" s="24">
        <v>125</v>
      </c>
      <c r="Z127" s="24">
        <f t="shared" si="28"/>
        <v>2182.8011580236971</v>
      </c>
      <c r="AA127" s="24" t="str">
        <f t="shared" si="37"/>
        <v>13714.9441645891i</v>
      </c>
      <c r="AB127" s="24">
        <f t="shared" si="29"/>
        <v>8.870967741935484</v>
      </c>
      <c r="AD127" s="24" t="str">
        <f t="shared" si="30"/>
        <v>0.735483481601559-0.440116422994403i</v>
      </c>
      <c r="AE127" s="24" t="str">
        <f t="shared" si="31"/>
        <v>0.999969015724951-0.0059789473146472i</v>
      </c>
      <c r="AF127" s="24" t="str">
        <f t="shared" si="45"/>
        <v>5.17967238326016-3.14174877036497i</v>
      </c>
      <c r="AG127" s="24">
        <f t="shared" si="32"/>
        <v>6.0580187630939024</v>
      </c>
      <c r="AH127" s="24">
        <f t="shared" si="46"/>
        <v>-0.54522437169825777</v>
      </c>
      <c r="AI127" s="24">
        <f t="shared" si="27"/>
        <v>-31.239055385982219</v>
      </c>
      <c r="AJ127" s="24">
        <f t="shared" si="47"/>
        <v>15.646612282199948</v>
      </c>
      <c r="AL127" s="24" t="str">
        <f t="shared" si="48"/>
        <v>0.000673668647081334-0.025946383517463i</v>
      </c>
      <c r="AM127" s="24" t="str">
        <f t="shared" si="49"/>
        <v>1.00134223619128+0.307457274875056i</v>
      </c>
      <c r="AN127" s="24" t="str">
        <f t="shared" si="50"/>
        <v>-2.90853702916743+8.66447976135385i</v>
      </c>
      <c r="AO127" s="24">
        <f t="shared" si="33"/>
        <v>9.1396278471800247</v>
      </c>
      <c r="AP127" s="24">
        <f t="shared" si="34"/>
        <v>1.8946620041964122</v>
      </c>
      <c r="AQ127" s="24">
        <f t="shared" si="35"/>
        <v>108.55613644425227</v>
      </c>
      <c r="AR127" s="24">
        <f t="shared" si="36"/>
        <v>19.218570244640205</v>
      </c>
      <c r="AS127" s="24">
        <f t="shared" si="51"/>
        <v>34.865182526840151</v>
      </c>
      <c r="AT127" s="24">
        <f t="shared" si="52"/>
        <v>77.317081058270048</v>
      </c>
    </row>
    <row r="128" spans="4:46">
      <c r="D128" s="13"/>
      <c r="R128" s="12"/>
      <c r="S128" s="12"/>
      <c r="T128" s="12"/>
      <c r="U128" s="12"/>
      <c r="V128" s="12"/>
      <c r="W128" s="12"/>
      <c r="X128" s="12"/>
      <c r="Y128" s="24">
        <v>126</v>
      </c>
      <c r="Z128" s="24">
        <f t="shared" si="28"/>
        <v>2321.2733688234066</v>
      </c>
      <c r="AA128" s="24" t="str">
        <f t="shared" si="37"/>
        <v>14584.9907249385i</v>
      </c>
      <c r="AB128" s="24">
        <f t="shared" si="29"/>
        <v>8.870967741935484</v>
      </c>
      <c r="AD128" s="24" t="str">
        <f t="shared" si="30"/>
        <v>0.710900473071147-0.452324429798466i</v>
      </c>
      <c r="AE128" s="24" t="str">
        <f t="shared" si="31"/>
        <v>0.999964959998416-0.00635821705054459i</v>
      </c>
      <c r="AF128" s="24" t="str">
        <f t="shared" si="45"/>
        <v>5.00417505533367-3.22888675170465i</v>
      </c>
      <c r="AG128" s="24">
        <f t="shared" si="32"/>
        <v>5.9554578027014475</v>
      </c>
      <c r="AH128" s="24">
        <f t="shared" si="46"/>
        <v>-0.57302070731921173</v>
      </c>
      <c r="AI128" s="24">
        <f t="shared" si="27"/>
        <v>-32.831668102992033</v>
      </c>
      <c r="AJ128" s="24">
        <f t="shared" si="47"/>
        <v>15.498303036090583</v>
      </c>
      <c r="AL128" s="24" t="str">
        <f t="shared" si="48"/>
        <v>0.000595738921222162-0.0244004921335596i</v>
      </c>
      <c r="AM128" s="24" t="str">
        <f t="shared" si="49"/>
        <v>1.0015179312014+0.326960887456293i</v>
      </c>
      <c r="AN128" s="24" t="str">
        <f t="shared" si="50"/>
        <v>-2.88254183901244+8.14968944241006i</v>
      </c>
      <c r="AO128" s="24">
        <f t="shared" si="33"/>
        <v>8.6444482450522671</v>
      </c>
      <c r="AP128" s="24">
        <f t="shared" si="34"/>
        <v>1.9107631879892353</v>
      </c>
      <c r="AQ128" s="24">
        <f t="shared" si="35"/>
        <v>109.47866632074549</v>
      </c>
      <c r="AR128" s="24">
        <f t="shared" si="36"/>
        <v>18.734745569836015</v>
      </c>
      <c r="AS128" s="24">
        <f t="shared" si="51"/>
        <v>34.233048605926598</v>
      </c>
      <c r="AT128" s="24">
        <f t="shared" si="52"/>
        <v>76.646998217753463</v>
      </c>
    </row>
    <row r="129" spans="4:46">
      <c r="D129" s="13"/>
      <c r="R129" s="12"/>
      <c r="S129" s="12"/>
      <c r="T129" s="12"/>
      <c r="U129" s="12"/>
      <c r="V129" s="12"/>
      <c r="W129" s="12"/>
      <c r="X129" s="12"/>
      <c r="Y129" s="24">
        <v>127</v>
      </c>
      <c r="Z129" s="24">
        <f t="shared" si="28"/>
        <v>2468.5299588567814</v>
      </c>
      <c r="AA129" s="24" t="str">
        <f t="shared" si="37"/>
        <v>15510.2311678216i</v>
      </c>
      <c r="AB129" s="24">
        <f t="shared" si="29"/>
        <v>8.870967741935484</v>
      </c>
      <c r="AD129" s="24" t="str">
        <f t="shared" si="30"/>
        <v>0.68501553422759-0.463425242649265i</v>
      </c>
      <c r="AE129" s="24" t="str">
        <f t="shared" si="31"/>
        <v>0.999960373409644-0.00676154242080265i</v>
      </c>
      <c r="AF129" s="24" t="str">
        <f t="shared" si="45"/>
        <v>4.81938329944816-3.30811957270199i</v>
      </c>
      <c r="AG129" s="24">
        <f t="shared" si="32"/>
        <v>5.8455205494715203</v>
      </c>
      <c r="AH129" s="24">
        <f t="shared" si="46"/>
        <v>-0.60155339440972622</v>
      </c>
      <c r="AI129" s="24">
        <f t="shared" si="27"/>
        <v>-34.466470651445924</v>
      </c>
      <c r="AJ129" s="24">
        <f t="shared" si="47"/>
        <v>15.336463831588592</v>
      </c>
      <c r="AL129" s="24" t="str">
        <f t="shared" si="48"/>
        <v>0.000526819323184771-0.0229464983077046i</v>
      </c>
      <c r="AM129" s="24" t="str">
        <f t="shared" si="49"/>
        <v>1.0017166236425+0.347701601988048i</v>
      </c>
      <c r="AN129" s="24" t="str">
        <f t="shared" si="50"/>
        <v>-2.85955052650349+7.66559284272351i</v>
      </c>
      <c r="AO129" s="24">
        <f t="shared" si="33"/>
        <v>8.1815855947389746</v>
      </c>
      <c r="AP129" s="24">
        <f t="shared" si="34"/>
        <v>1.9278449891668699</v>
      </c>
      <c r="AQ129" s="24">
        <f t="shared" si="35"/>
        <v>110.45738143470555</v>
      </c>
      <c r="AR129" s="24">
        <f t="shared" si="36"/>
        <v>18.256749565637747</v>
      </c>
      <c r="AS129" s="24">
        <f t="shared" si="51"/>
        <v>33.593213397226336</v>
      </c>
      <c r="AT129" s="24">
        <f t="shared" si="52"/>
        <v>75.990910783259636</v>
      </c>
    </row>
    <row r="130" spans="4:46">
      <c r="D130" s="13"/>
      <c r="R130" s="12"/>
      <c r="S130" s="12"/>
      <c r="T130" s="12"/>
      <c r="U130" s="12"/>
      <c r="V130" s="12"/>
      <c r="W130" s="12"/>
      <c r="X130" s="12"/>
      <c r="Y130" s="24">
        <v>128</v>
      </c>
      <c r="Z130" s="24">
        <f t="shared" si="28"/>
        <v>2625.1281902493761</v>
      </c>
      <c r="AA130" s="24" t="str">
        <f t="shared" si="37"/>
        <v>16494.1668744378i</v>
      </c>
      <c r="AB130" s="24">
        <f t="shared" si="29"/>
        <v>8.870967741935484</v>
      </c>
      <c r="AD130" s="24" t="str">
        <f t="shared" si="30"/>
        <v>0.657933175158446-0.473248660063887i</v>
      </c>
      <c r="AE130" s="24" t="str">
        <f t="shared" si="31"/>
        <v>0.999955186477832-0.00719044856711789i</v>
      </c>
      <c r="AF130" s="24" t="str">
        <f t="shared" si="45"/>
        <v>4.6260432130743-3.37823211025457i</v>
      </c>
      <c r="AG130" s="24">
        <f t="shared" si="32"/>
        <v>5.7282395201305807</v>
      </c>
      <c r="AH130" s="24">
        <f t="shared" si="46"/>
        <v>-0.63074985795189065</v>
      </c>
      <c r="AI130" s="24">
        <f t="shared" ref="AI130:AI193" si="53">AH130/(PI())*180</f>
        <v>-36.139304789119521</v>
      </c>
      <c r="AJ130" s="24">
        <f t="shared" si="47"/>
        <v>15.160423384655884</v>
      </c>
      <c r="AL130" s="24" t="str">
        <f t="shared" si="48"/>
        <v>0.000465869150458455-0.0215789739420832i</v>
      </c>
      <c r="AM130" s="24" t="str">
        <f t="shared" si="49"/>
        <v>1.00194132358505+0.36975786406573i</v>
      </c>
      <c r="AN130" s="24" t="str">
        <f t="shared" si="50"/>
        <v>-2.83921591691838+7.21038275557154i</v>
      </c>
      <c r="AO130" s="24">
        <f t="shared" si="33"/>
        <v>7.7492429633304258</v>
      </c>
      <c r="AP130" s="24">
        <f t="shared" si="34"/>
        <v>1.9459185223942006</v>
      </c>
      <c r="AQ130" s="24">
        <f t="shared" si="35"/>
        <v>111.49291860952106</v>
      </c>
      <c r="AR130" s="24">
        <f t="shared" si="36"/>
        <v>17.785185552301545</v>
      </c>
      <c r="AS130" s="24">
        <f t="shared" si="51"/>
        <v>32.945608936957427</v>
      </c>
      <c r="AT130" s="24">
        <f t="shared" si="52"/>
        <v>75.353613820401534</v>
      </c>
    </row>
    <row r="131" spans="4:46">
      <c r="D131" s="13"/>
      <c r="R131" s="12"/>
      <c r="S131" s="12"/>
      <c r="T131" s="12"/>
      <c r="U131" s="12"/>
      <c r="V131" s="12"/>
      <c r="W131" s="12"/>
      <c r="X131" s="12"/>
      <c r="Y131" s="24">
        <v>129</v>
      </c>
      <c r="Z131" s="24">
        <f t="shared" ref="Z131:Z194" si="54">10^(LOG($G$6/$G$5,10)*Y131/200)</f>
        <v>2791.6606766374607</v>
      </c>
      <c r="AA131" s="24" t="str">
        <f t="shared" si="37"/>
        <v>17540.5213460795i</v>
      </c>
      <c r="AB131" s="24">
        <f t="shared" ref="AB131:AB194" si="55">$B$23/$G$3</f>
        <v>8.870967741935484</v>
      </c>
      <c r="AD131" s="24" t="str">
        <f t="shared" ref="AD131:AD194" si="56">IMDIV(IMSUM(1,IMDIV(AA131,$G$12)),IMSUM(1,IMDIV(AA131,$G$14)))</f>
        <v>0.629786620679286-0.481635436777938i</v>
      </c>
      <c r="AE131" s="24" t="str">
        <f t="shared" ref="AE131:AE194" si="57">IMDIV(1,IMSUM(1,IMDIV(AA131,IMPRODUCT($G$10*$G$11)),IMDIV(IMPRODUCT(AA131,AA131),$G$10*$G$10)))</f>
        <v>0.999949320629672-0.00764655720135092i</v>
      </c>
      <c r="AF131" s="24" t="str">
        <f t="shared" si="45"/>
        <v>4.42510588774162-3.43808745369188i</v>
      </c>
      <c r="AG131" s="24">
        <f t="shared" ref="AG131:AG194" si="58">IMABS(AF131)</f>
        <v>5.6037494106142063</v>
      </c>
      <c r="AH131" s="24">
        <f t="shared" si="46"/>
        <v>-0.66052739478594447</v>
      </c>
      <c r="AI131" s="24">
        <f t="shared" si="53"/>
        <v>-37.845431974006161</v>
      </c>
      <c r="AJ131" s="24">
        <f t="shared" si="47"/>
        <v>14.969574123920822</v>
      </c>
      <c r="AL131" s="24" t="str">
        <f t="shared" si="48"/>
        <v>0.000411967679548535-0.0202928056753999i</v>
      </c>
      <c r="AM131" s="24" t="str">
        <f t="shared" si="49"/>
        <v>1.00219543503575+0.393213088918475i</v>
      </c>
      <c r="AN131" s="24" t="str">
        <f t="shared" si="50"/>
        <v>-2.82123083187873+6.78235712392909i</v>
      </c>
      <c r="AO131" s="24">
        <f t="shared" ref="AO131:AO194" si="59">IMABS(AN131)</f>
        <v>7.3457274359490654</v>
      </c>
      <c r="AP131" s="24">
        <f t="shared" ref="AP131:AP194" si="60">IMARGUMENT(AN131)</f>
        <v>1.964990389424772</v>
      </c>
      <c r="AQ131" s="24">
        <f t="shared" ref="AQ131:AQ194" si="61">AP131/(PI())*180</f>
        <v>112.5856560978075</v>
      </c>
      <c r="AR131" s="24">
        <f t="shared" ref="AR131:AR194" si="62">20*LOG(AO131,10)</f>
        <v>17.320696195242991</v>
      </c>
      <c r="AS131" s="24">
        <f t="shared" si="51"/>
        <v>32.29027031916381</v>
      </c>
      <c r="AT131" s="24">
        <f t="shared" si="52"/>
        <v>74.74022412380134</v>
      </c>
    </row>
    <row r="132" spans="4:46">
      <c r="D132" s="13"/>
      <c r="R132" s="12"/>
      <c r="S132" s="12"/>
      <c r="T132" s="12"/>
      <c r="U132" s="12"/>
      <c r="V132" s="12"/>
      <c r="W132" s="12"/>
      <c r="X132" s="12"/>
      <c r="Y132" s="24">
        <v>130</v>
      </c>
      <c r="Z132" s="24">
        <f t="shared" si="54"/>
        <v>2968.757625791824</v>
      </c>
      <c r="AA132" s="24" t="str">
        <f t="shared" ref="AA132:AA195" si="63">IMPRODUCT(COMPLEX(0,1),2*PI()*Z132)</f>
        <v>18653.2542949525i</v>
      </c>
      <c r="AB132" s="24">
        <f t="shared" si="55"/>
        <v>8.870967741935484</v>
      </c>
      <c r="AD132" s="24" t="str">
        <f t="shared" si="56"/>
        <v>0.60073637560772-0.488443072661906i</v>
      </c>
      <c r="AE132" s="24" t="str">
        <f t="shared" si="57"/>
        <v>0.999942687009851-0.00813159269494981i</v>
      </c>
      <c r="AF132" s="24" t="str">
        <f t="shared" si="45"/>
        <v>4.21771716661018-3.48666823146786i</v>
      </c>
      <c r="AG132" s="24">
        <f t="shared" si="58"/>
        <v>5.4722932536410571</v>
      </c>
      <c r="AH132" s="24">
        <f t="shared" ref="AH132:AH163" si="64">IMARGUMENT(AF132)</f>
        <v>-0.6907940325469647</v>
      </c>
      <c r="AI132" s="24">
        <f t="shared" si="53"/>
        <v>-39.579582577763901</v>
      </c>
      <c r="AJ132" s="24">
        <f t="shared" ref="AJ132:AJ163" si="65">20*LOG(AG132,10)</f>
        <v>14.763387253135766</v>
      </c>
      <c r="AL132" s="24" t="str">
        <f t="shared" ref="AL132:AL163" si="66">IMDIV(1,IMSUM(1,IMDIV(AA132,wp2e)))</f>
        <v>0.000364300383284425-0.0190831776314943i</v>
      </c>
      <c r="AM132" s="24" t="str">
        <f t="shared" ref="AM132:AM163" si="67">IMDIV(IMSUM(1,IMDIV(AA132,wz2e)),IMSUM(1,IMDIV(AA132,wp1e)))</f>
        <v>1.00248280748087+0.418155975297106i</v>
      </c>
      <c r="AN132" s="24" t="str">
        <f t="shared" ref="AN132:AN163" si="68">IMPRODUCT($AK$2,AL132,AM132)</f>
        <v>-2.80532349104712+6.37991329933042i</v>
      </c>
      <c r="AO132" s="24">
        <f t="shared" si="59"/>
        <v>6.9694428469135152</v>
      </c>
      <c r="AP132" s="24">
        <f t="shared" si="60"/>
        <v>1.9850617646968898</v>
      </c>
      <c r="AQ132" s="24">
        <f t="shared" si="61"/>
        <v>113.73566118992311</v>
      </c>
      <c r="AR132" s="24">
        <f t="shared" si="62"/>
        <v>16.863961219973</v>
      </c>
      <c r="AS132" s="24">
        <f t="shared" ref="AS132:AS163" si="69">AR132+AJ132</f>
        <v>31.627348473108768</v>
      </c>
      <c r="AT132" s="24">
        <f t="shared" ref="AT132:AT163" si="70">AQ132+AI132</f>
        <v>74.156078612159206</v>
      </c>
    </row>
    <row r="133" spans="4:46">
      <c r="D133" s="13"/>
      <c r="R133" s="12"/>
      <c r="S133" s="12"/>
      <c r="T133" s="12"/>
      <c r="U133" s="12"/>
      <c r="V133" s="12"/>
      <c r="W133" s="12"/>
      <c r="X133" s="12"/>
      <c r="Y133" s="24">
        <v>131</v>
      </c>
      <c r="Z133" s="24">
        <f t="shared" si="54"/>
        <v>3157.0892245088098</v>
      </c>
      <c r="AA133" s="24" t="str">
        <f t="shared" si="63"/>
        <v>19836.5766288887i</v>
      </c>
      <c r="AB133" s="24">
        <f t="shared" si="55"/>
        <v>8.870967741935484</v>
      </c>
      <c r="AD133" s="24" t="str">
        <f t="shared" si="56"/>
        <v>0.57096740980664-0.493551390382754i</v>
      </c>
      <c r="AE133" s="24" t="str">
        <f t="shared" si="57"/>
        <v>0.999935185136035-0.00864738854722354i</v>
      </c>
      <c r="AF133" s="24" t="str">
        <f t="shared" si="45"/>
        <v>4.00519754861521-3.52311642969624i</v>
      </c>
      <c r="AG133" s="24">
        <f t="shared" si="58"/>
        <v>5.3342250403061238</v>
      </c>
      <c r="AH133" s="24">
        <f t="shared" si="64"/>
        <v>-0.72144974146233398</v>
      </c>
      <c r="AI133" s="24">
        <f t="shared" si="53"/>
        <v>-41.336025316596128</v>
      </c>
      <c r="AJ133" s="24">
        <f t="shared" si="65"/>
        <v>14.541426675151873</v>
      </c>
      <c r="AL133" s="24" t="str">
        <f t="shared" si="66"/>
        <v>0.000322146720666204-0.0179455549414491i</v>
      </c>
      <c r="AM133" s="24" t="str">
        <f t="shared" si="67"/>
        <v>1.00280779417028+0.444680838995943i</v>
      </c>
      <c r="AN133" s="24" t="str">
        <f t="shared" si="68"/>
        <v>-2.79125343798717+6.00154255942838i</v>
      </c>
      <c r="AO133" s="24">
        <f t="shared" si="59"/>
        <v>6.6188827492036255</v>
      </c>
      <c r="AP133" s="24">
        <f t="shared" si="60"/>
        <v>2.0061274498425394</v>
      </c>
      <c r="AQ133" s="24">
        <f t="shared" si="61"/>
        <v>114.94263604132027</v>
      </c>
      <c r="AR133" s="24">
        <f t="shared" si="62"/>
        <v>16.415693756150272</v>
      </c>
      <c r="AS133" s="24">
        <f t="shared" si="69"/>
        <v>30.957120431302144</v>
      </c>
      <c r="AT133" s="24">
        <f t="shared" si="70"/>
        <v>73.606610724724135</v>
      </c>
    </row>
    <row r="134" spans="4:46">
      <c r="D134" s="13"/>
      <c r="R134" s="12"/>
      <c r="S134" s="12"/>
      <c r="T134" s="12"/>
      <c r="U134" s="12"/>
      <c r="V134" s="12"/>
      <c r="W134" s="12"/>
      <c r="X134" s="12"/>
      <c r="Y134" s="24">
        <v>132</v>
      </c>
      <c r="Z134" s="24">
        <f t="shared" si="54"/>
        <v>3357.3681747937244</v>
      </c>
      <c r="AA134" s="24" t="str">
        <f t="shared" si="63"/>
        <v>21094.9663866563i</v>
      </c>
      <c r="AB134" s="24">
        <f t="shared" si="55"/>
        <v>8.870967741935484</v>
      </c>
      <c r="AD134" s="24" t="str">
        <f t="shared" si="56"/>
        <v>0.540685002115567-0.496867521668809i</v>
      </c>
      <c r="AE134" s="24" t="str">
        <f t="shared" si="57"/>
        <v>0.999926701378056-0.00919589425499025i</v>
      </c>
      <c r="AF134" s="24" t="str">
        <f t="shared" si="45"/>
        <v>3.7890125184543-3.54676898870414i</v>
      </c>
      <c r="AG134" s="24">
        <f t="shared" si="58"/>
        <v>5.1900082971260062</v>
      </c>
      <c r="AH134" s="24">
        <f t="shared" si="64"/>
        <v>-0.75238797431121363</v>
      </c>
      <c r="AI134" s="24">
        <f t="shared" si="53"/>
        <v>-43.108655484429946</v>
      </c>
      <c r="AJ134" s="24">
        <f t="shared" si="65"/>
        <v>14.303361042877288</v>
      </c>
      <c r="AL134" s="24" t="str">
        <f t="shared" si="66"/>
        <v>0.000284869322185928-0.0168756680358202i</v>
      </c>
      <c r="AM134" s="24" t="str">
        <f t="shared" si="67"/>
        <v>1.00317531802262+0.472887967197598i</v>
      </c>
      <c r="AN134" s="24" t="str">
        <f t="shared" si="68"/>
        <v>-2.77880793110511+5.64582488317199i</v>
      </c>
      <c r="AO134" s="24">
        <f t="shared" si="59"/>
        <v>6.2926236284571067</v>
      </c>
      <c r="AP134" s="24">
        <f t="shared" si="60"/>
        <v>2.0281749239908065</v>
      </c>
      <c r="AQ134" s="24">
        <f t="shared" si="61"/>
        <v>116.20586325893974</v>
      </c>
      <c r="AR134" s="24">
        <f t="shared" si="62"/>
        <v>15.976635134004511</v>
      </c>
      <c r="AS134" s="24">
        <f t="shared" si="69"/>
        <v>30.279996176881799</v>
      </c>
      <c r="AT134" s="24">
        <f t="shared" si="70"/>
        <v>73.097207774509798</v>
      </c>
    </row>
    <row r="135" spans="4:46">
      <c r="D135" s="13"/>
      <c r="R135" s="12"/>
      <c r="S135" s="12"/>
      <c r="T135" s="12"/>
      <c r="U135" s="12"/>
      <c r="V135" s="12"/>
      <c r="W135" s="12"/>
      <c r="X135" s="12"/>
      <c r="Y135" s="24">
        <v>133</v>
      </c>
      <c r="Z135" s="24">
        <f t="shared" si="54"/>
        <v>3570.3523909342362</v>
      </c>
      <c r="AA135" s="24" t="str">
        <f t="shared" si="63"/>
        <v>22433.1856841715i</v>
      </c>
      <c r="AB135" s="24">
        <f t="shared" si="55"/>
        <v>8.870967741935484</v>
      </c>
      <c r="AD135" s="24" t="str">
        <f t="shared" si="56"/>
        <v>0.510109401501571-0.498329932968834i</v>
      </c>
      <c r="AE135" s="24" t="str">
        <f t="shared" si="57"/>
        <v>0.999917107238337-0.00977918260724844i</v>
      </c>
      <c r="AF135" s="24" t="str">
        <f t="shared" si="45"/>
        <v>3.57073443274225-3.55718654182851i</v>
      </c>
      <c r="AG135" s="24">
        <f t="shared" si="58"/>
        <v>5.0402103609409981</v>
      </c>
      <c r="AH135" s="24">
        <f t="shared" si="64"/>
        <v>-0.78349748651735629</v>
      </c>
      <c r="AI135" s="24">
        <f t="shared" si="53"/>
        <v>-44.891099236552634</v>
      </c>
      <c r="AJ135" s="24">
        <f t="shared" si="65"/>
        <v>14.048973255455588</v>
      </c>
      <c r="AL135" s="24" t="str">
        <f t="shared" si="66"/>
        <v>0.000251904412978527-0.01586949769669i</v>
      </c>
      <c r="AM135" s="24" t="str">
        <f t="shared" si="67"/>
        <v>1.00359094614706+0.502883994893842i</v>
      </c>
      <c r="AN135" s="24" t="str">
        <f t="shared" si="68"/>
        <v>-2.76779874706194+5.31142398021619i</v>
      </c>
      <c r="AO135" s="24">
        <f t="shared" si="59"/>
        <v>5.9893183753957544</v>
      </c>
      <c r="AP135" s="24">
        <f t="shared" si="60"/>
        <v>2.0511834241732454</v>
      </c>
      <c r="AQ135" s="24">
        <f t="shared" si="61"/>
        <v>117.52415321231949</v>
      </c>
      <c r="AR135" s="24">
        <f t="shared" si="62"/>
        <v>15.54754799153055</v>
      </c>
      <c r="AS135" s="24">
        <f t="shared" si="69"/>
        <v>29.596521246986136</v>
      </c>
      <c r="AT135" s="24">
        <f t="shared" si="70"/>
        <v>72.633053975766856</v>
      </c>
    </row>
    <row r="136" spans="4:46">
      <c r="D136" s="13"/>
      <c r="R136" s="12"/>
      <c r="S136" s="12"/>
      <c r="T136" s="12"/>
      <c r="U136" s="12"/>
      <c r="V136" s="12"/>
      <c r="W136" s="12"/>
      <c r="X136" s="12"/>
      <c r="Y136" s="24">
        <v>134</v>
      </c>
      <c r="Z136" s="24">
        <f t="shared" si="54"/>
        <v>3796.8478676703417</v>
      </c>
      <c r="AA136" s="24" t="str">
        <f t="shared" si="63"/>
        <v>23856.2987357424i</v>
      </c>
      <c r="AB136" s="24">
        <f t="shared" si="55"/>
        <v>8.870967741935484</v>
      </c>
      <c r="AD136" s="24" t="str">
        <f t="shared" si="56"/>
        <v>0.47946957793395-0.497911174096299i</v>
      </c>
      <c r="AE136" s="24" t="str">
        <f t="shared" si="57"/>
        <v>0.999906257407633-0.0103994574296534i</v>
      </c>
      <c r="AF136" s="24" t="str">
        <f t="shared" si="45"/>
        <v>3.35199790773514-3.55417303761854i</v>
      </c>
      <c r="AG136" s="24">
        <f t="shared" si="58"/>
        <v>4.8854923963501724</v>
      </c>
      <c r="AH136" s="24">
        <f t="shared" si="64"/>
        <v>-0.81466436698083355</v>
      </c>
      <c r="AI136" s="24">
        <f t="shared" si="53"/>
        <v>-46.676829947698621</v>
      </c>
      <c r="AJ136" s="24">
        <f t="shared" si="65"/>
        <v>13.778166833935055</v>
      </c>
      <c r="AL136" s="24" t="str">
        <f t="shared" si="66"/>
        <v>0.000222753333561502-0.0149232608539115i</v>
      </c>
      <c r="AM136" s="24" t="str">
        <f t="shared" si="67"/>
        <v>1.00406097410655+0.534782304701524i</v>
      </c>
      <c r="AN136" s="24" t="str">
        <f t="shared" si="68"/>
        <v>-2.75805934984531+4.99708256940035i</v>
      </c>
      <c r="AO136" s="24">
        <f t="shared" si="59"/>
        <v>5.7076900391203731</v>
      </c>
      <c r="AP136" s="24">
        <f t="shared" si="60"/>
        <v>2.0751230972894659</v>
      </c>
      <c r="AQ136" s="24">
        <f t="shared" si="61"/>
        <v>118.89579544480172</v>
      </c>
      <c r="AR136" s="24">
        <f t="shared" si="62"/>
        <v>15.12920760716076</v>
      </c>
      <c r="AS136" s="24">
        <f t="shared" si="69"/>
        <v>28.907374441095815</v>
      </c>
      <c r="AT136" s="24">
        <f t="shared" si="70"/>
        <v>72.218965497103099</v>
      </c>
    </row>
    <row r="137" spans="4:46">
      <c r="D137" s="13"/>
      <c r="R137" s="12"/>
      <c r="S137" s="12"/>
      <c r="T137" s="12"/>
      <c r="U137" s="12"/>
      <c r="V137" s="12"/>
      <c r="W137" s="12"/>
      <c r="X137" s="12"/>
      <c r="Y137" s="24">
        <v>135</v>
      </c>
      <c r="Z137" s="24">
        <f t="shared" si="54"/>
        <v>4037.7117303148448</v>
      </c>
      <c r="AA137" s="24" t="str">
        <f t="shared" si="63"/>
        <v>25369.6910185409i</v>
      </c>
      <c r="AB137" s="24">
        <f t="shared" si="55"/>
        <v>8.870967741935484</v>
      </c>
      <c r="AD137" s="24" t="str">
        <f t="shared" si="56"/>
        <v>0.448996428432591-0.4956191250529i</v>
      </c>
      <c r="AE137" s="24" t="str">
        <f t="shared" si="57"/>
        <v>0.999893987566815-0.0110590618047112i</v>
      </c>
      <c r="AF137" s="24" t="str">
        <f t="shared" si="45"/>
        <v>3.13445131756253-3.53778464055919i</v>
      </c>
      <c r="AG137" s="24">
        <f t="shared" si="58"/>
        <v>4.7265955216356303</v>
      </c>
      <c r="AH137" s="24">
        <f t="shared" si="64"/>
        <v>-0.84577419337743998</v>
      </c>
      <c r="AI137" s="24">
        <f t="shared" si="53"/>
        <v>-48.459291701608855</v>
      </c>
      <c r="AJ137" s="24">
        <f t="shared" si="65"/>
        <v>13.490968782941508</v>
      </c>
      <c r="AL137" s="24" t="str">
        <f t="shared" si="66"/>
        <v>0.000196975033495348-0.0140333971058874i</v>
      </c>
      <c r="AM137" s="24" t="str">
        <f t="shared" si="67"/>
        <v>1.00459252119406+0.568703451459525i</v>
      </c>
      <c r="AN137" s="24" t="str">
        <f t="shared" si="68"/>
        <v>-2.74944238387745+4.70161789979376i</v>
      </c>
      <c r="AO137" s="24">
        <f t="shared" si="59"/>
        <v>5.4465258925229403</v>
      </c>
      <c r="AP137" s="24">
        <f t="shared" si="60"/>
        <v>2.0999542711797536</v>
      </c>
      <c r="AQ137" s="24">
        <f t="shared" si="61"/>
        <v>120.31851690907064</v>
      </c>
      <c r="AR137" s="24">
        <f t="shared" si="62"/>
        <v>14.722391451772484</v>
      </c>
      <c r="AS137" s="24">
        <f t="shared" si="69"/>
        <v>28.213360234713992</v>
      </c>
      <c r="AT137" s="24">
        <f t="shared" si="70"/>
        <v>71.859225207461776</v>
      </c>
    </row>
    <row r="138" spans="4:46">
      <c r="D138" s="13"/>
      <c r="R138" s="12"/>
      <c r="S138" s="12"/>
      <c r="T138" s="12"/>
      <c r="U138" s="12"/>
      <c r="V138" s="12"/>
      <c r="W138" s="12"/>
      <c r="X138" s="12"/>
      <c r="Y138" s="24">
        <v>136</v>
      </c>
      <c r="Z138" s="24">
        <f t="shared" si="54"/>
        <v>4293.8554783669315</v>
      </c>
      <c r="AA138" s="24" t="str">
        <f t="shared" si="63"/>
        <v>26979.0896528277i</v>
      </c>
      <c r="AB138" s="24">
        <f t="shared" si="55"/>
        <v>8.870967741935484</v>
      </c>
      <c r="AD138" s="24" t="str">
        <f t="shared" si="56"/>
        <v>0.418915861311043-0.491496636811551i</v>
      </c>
      <c r="AE138" s="24" t="str">
        <f t="shared" si="57"/>
        <v>0.99988011190156-0.0117604867947153i</v>
      </c>
      <c r="AF138" s="24" t="str">
        <f t="shared" si="45"/>
        <v>2.91970742290534-3.50832716629227i</v>
      </c>
      <c r="AG138" s="24">
        <f t="shared" si="58"/>
        <v>4.5643237112537154</v>
      </c>
      <c r="AH138" s="24">
        <f t="shared" si="64"/>
        <v>-0.87671421539050098</v>
      </c>
      <c r="AI138" s="24">
        <f t="shared" si="53"/>
        <v>-50.232024380999114</v>
      </c>
      <c r="AJ138" s="24">
        <f t="shared" si="65"/>
        <v>13.187528757981276</v>
      </c>
      <c r="AL138" s="24" t="str">
        <f t="shared" si="66"/>
        <v>0.000174179427210002-0.0131965559422578i</v>
      </c>
      <c r="AM138" s="24" t="str">
        <f t="shared" si="67"/>
        <v>1.00519363815865+0.604775613060937i</v>
      </c>
      <c r="AN138" s="24" t="str">
        <f t="shared" si="68"/>
        <v>-2.74181745416902+4.42391750681792i</v>
      </c>
      <c r="AO138" s="24">
        <f t="shared" si="59"/>
        <v>5.2046718493211435</v>
      </c>
      <c r="AP138" s="24">
        <f t="shared" si="60"/>
        <v>2.1256268964327552</v>
      </c>
      <c r="AQ138" s="24">
        <f t="shared" si="61"/>
        <v>121.78944998508861</v>
      </c>
      <c r="AR138" s="24">
        <f t="shared" si="62"/>
        <v>14.327867055330071</v>
      </c>
      <c r="AS138" s="24">
        <f t="shared" si="69"/>
        <v>27.515395813311347</v>
      </c>
      <c r="AT138" s="24">
        <f t="shared" si="70"/>
        <v>71.557425604089502</v>
      </c>
    </row>
    <row r="139" spans="4:46">
      <c r="D139" s="13"/>
      <c r="R139" s="12"/>
      <c r="S139" s="12"/>
      <c r="T139" s="12"/>
      <c r="U139" s="12"/>
      <c r="V139" s="12"/>
      <c r="W139" s="12"/>
      <c r="X139" s="12"/>
      <c r="Y139" s="24">
        <v>137</v>
      </c>
      <c r="Z139" s="24">
        <f t="shared" si="54"/>
        <v>4566.248434893605</v>
      </c>
      <c r="AA139" s="24" t="str">
        <f t="shared" si="63"/>
        <v>28690.5850750553i</v>
      </c>
      <c r="AB139" s="24">
        <f t="shared" si="55"/>
        <v>8.870967741935484</v>
      </c>
      <c r="AD139" s="24" t="str">
        <f t="shared" si="56"/>
        <v>0.389442194696058-0.485619596226126i</v>
      </c>
      <c r="AE139" s="24" t="str">
        <f t="shared" si="57"/>
        <v>0.999864420292587-0.0125063806955315i</v>
      </c>
      <c r="AF139" s="24" t="str">
        <f t="shared" si="45"/>
        <v>2.70929624329778-3.46634226669753i</v>
      </c>
      <c r="AG139" s="24">
        <f t="shared" si="58"/>
        <v>4.3995243883675919</v>
      </c>
      <c r="AH139" s="24">
        <f t="shared" si="64"/>
        <v>-0.90737546703025995</v>
      </c>
      <c r="AI139" s="24">
        <f t="shared" si="53"/>
        <v>-51.988784694545878</v>
      </c>
      <c r="AJ139" s="24">
        <f t="shared" si="65"/>
        <v>12.868114590305805</v>
      </c>
      <c r="AL139" s="24" t="str">
        <f t="shared" si="66"/>
        <v>0.000154021513657795-0.0124095846437794i</v>
      </c>
      <c r="AM139" s="24" t="str">
        <f t="shared" si="67"/>
        <v>1.00587342900489+0.643135069043012i</v>
      </c>
      <c r="AN139" s="24" t="str">
        <f t="shared" si="68"/>
        <v>-2.73506916066254+4.16293519526046i</v>
      </c>
      <c r="AO139" s="24">
        <f t="shared" si="59"/>
        <v>4.981027278940112</v>
      </c>
      <c r="AP139" s="24">
        <f t="shared" si="60"/>
        <v>2.1520802116065587</v>
      </c>
      <c r="AQ139" s="24">
        <f t="shared" si="61"/>
        <v>123.30511329867694</v>
      </c>
      <c r="AR139" s="24">
        <f t="shared" si="62"/>
        <v>13.946378403652774</v>
      </c>
      <c r="AS139" s="24">
        <f t="shared" si="69"/>
        <v>26.814492993958581</v>
      </c>
      <c r="AT139" s="24">
        <f t="shared" si="70"/>
        <v>71.316328604131058</v>
      </c>
    </row>
    <row r="140" spans="4:46">
      <c r="D140" s="13"/>
      <c r="R140" s="12"/>
      <c r="S140" s="12"/>
      <c r="T140" s="12"/>
      <c r="U140" s="12"/>
      <c r="V140" s="12"/>
      <c r="W140" s="12"/>
      <c r="X140" s="12"/>
      <c r="Y140" s="24">
        <v>138</v>
      </c>
      <c r="Z140" s="24">
        <f t="shared" si="54"/>
        <v>4855.9214147324665</v>
      </c>
      <c r="AA140" s="24" t="str">
        <f t="shared" si="63"/>
        <v>30510.6540858657i</v>
      </c>
      <c r="AB140" s="24">
        <f t="shared" si="55"/>
        <v>8.870967741935484</v>
      </c>
      <c r="AD140" s="24" t="str">
        <f t="shared" si="56"/>
        <v>0.360772271846638-0.478093575604631i</v>
      </c>
      <c r="AE140" s="24" t="str">
        <f t="shared" si="57"/>
        <v>0.999846675139206-0.0132995588503483i</v>
      </c>
      <c r="AF140" s="24" t="str">
        <f t="shared" ref="AF140:AF202" si="71">IMPRODUCT(AB140,AC$2,AD140,AE140)</f>
        <v>2.5046230466564-3.41258351089981i</v>
      </c>
      <c r="AG140" s="24">
        <f t="shared" si="58"/>
        <v>4.2330677793661255</v>
      </c>
      <c r="AH140" s="24">
        <f t="shared" si="64"/>
        <v>-0.93765471514752341</v>
      </c>
      <c r="AI140" s="24">
        <f t="shared" si="53"/>
        <v>-53.723657818494516</v>
      </c>
      <c r="AJ140" s="24">
        <f t="shared" si="65"/>
        <v>12.533104448001486</v>
      </c>
      <c r="AL140" s="24" t="str">
        <f t="shared" si="66"/>
        <v>0.000136196172519511-0.0116695168332756i</v>
      </c>
      <c r="AM140" s="24" t="str">
        <f t="shared" si="67"/>
        <v>1.00664218870007+0.68392670852533i</v>
      </c>
      <c r="AN140" s="24" t="str">
        <f t="shared" si="68"/>
        <v>-2.72909535759063+3.91768724053077i</v>
      </c>
      <c r="AO140" s="24">
        <f t="shared" si="59"/>
        <v>4.7745402695380346</v>
      </c>
      <c r="AP140" s="24">
        <f t="shared" si="60"/>
        <v>2.1792426815943218</v>
      </c>
      <c r="AQ140" s="24">
        <f t="shared" si="61"/>
        <v>124.86140819012653</v>
      </c>
      <c r="AR140" s="24">
        <f t="shared" si="62"/>
        <v>13.578631212574024</v>
      </c>
      <c r="AS140" s="24">
        <f t="shared" si="69"/>
        <v>26.111735660575512</v>
      </c>
      <c r="AT140" s="24">
        <f t="shared" si="70"/>
        <v>71.137750371632009</v>
      </c>
    </row>
    <row r="141" spans="4:46">
      <c r="D141" s="13"/>
      <c r="R141" s="12"/>
      <c r="S141" s="12"/>
      <c r="T141" s="12"/>
      <c r="U141" s="12"/>
      <c r="V141" s="12"/>
      <c r="W141" s="12"/>
      <c r="X141" s="12"/>
      <c r="Y141" s="24">
        <v>139</v>
      </c>
      <c r="Z141" s="24">
        <f t="shared" si="54"/>
        <v>5163.9706253973836</v>
      </c>
      <c r="AA141" s="24" t="str">
        <f t="shared" si="63"/>
        <v>32446.1843602037i</v>
      </c>
      <c r="AB141" s="24">
        <f t="shared" si="55"/>
        <v>8.870967741935484</v>
      </c>
      <c r="AD141" s="24" t="str">
        <f t="shared" si="56"/>
        <v>0.333080621009642-0.469049336788474i</v>
      </c>
      <c r="AE141" s="24" t="str">
        <f t="shared" si="57"/>
        <v>0.999826607768461-0.0141430140534406i</v>
      </c>
      <c r="AF141" s="24" t="str">
        <f t="shared" si="71"/>
        <v>2.30693379574487-3.34798428860123i</v>
      </c>
      <c r="AG141" s="24">
        <f t="shared" si="58"/>
        <v>4.0658261564742926</v>
      </c>
      <c r="AH141" s="24">
        <f t="shared" si="64"/>
        <v>-0.96745616467455819</v>
      </c>
      <c r="AI141" s="24">
        <f t="shared" si="53"/>
        <v>-55.431155099765753</v>
      </c>
      <c r="AJ141" s="24">
        <f t="shared" si="65"/>
        <v>12.182976109267265</v>
      </c>
      <c r="AL141" s="24" t="str">
        <f t="shared" si="66"/>
        <v>0.000120433559544076-0.0109735616507045i</v>
      </c>
      <c r="AM141" s="24" t="str">
        <f t="shared" si="67"/>
        <v>1.00751155886165+0.727304569153061i</v>
      </c>
      <c r="AN141" s="24" t="str">
        <f t="shared" si="68"/>
        <v>-2.72380561195192+3.68724879923219i</v>
      </c>
      <c r="AO141" s="24">
        <f t="shared" si="59"/>
        <v>4.5842033898094003</v>
      </c>
      <c r="AP141" s="24">
        <f t="shared" si="60"/>
        <v>2.2070322511853955</v>
      </c>
      <c r="AQ141" s="24">
        <f t="shared" si="61"/>
        <v>126.45363324218013</v>
      </c>
      <c r="AR141" s="24">
        <f t="shared" si="62"/>
        <v>13.225277559258018</v>
      </c>
      <c r="AS141" s="24">
        <f t="shared" si="69"/>
        <v>25.408253668525283</v>
      </c>
      <c r="AT141" s="24">
        <f t="shared" si="70"/>
        <v>71.022478142414371</v>
      </c>
    </row>
    <row r="142" spans="4:46">
      <c r="D142" s="13"/>
      <c r="R142" s="12"/>
      <c r="S142" s="12"/>
      <c r="T142" s="12"/>
      <c r="U142" s="12"/>
      <c r="V142" s="12"/>
      <c r="W142" s="12"/>
      <c r="X142" s="12"/>
      <c r="Y142" s="24">
        <v>140</v>
      </c>
      <c r="Z142" s="24">
        <f t="shared" si="54"/>
        <v>5491.5618154492358</v>
      </c>
      <c r="AA142" s="24" t="str">
        <f t="shared" si="63"/>
        <v>34504.5005122991i</v>
      </c>
      <c r="AB142" s="24">
        <f t="shared" si="55"/>
        <v>8.870967741935484</v>
      </c>
      <c r="AD142" s="24" t="str">
        <f t="shared" si="56"/>
        <v>0.306515883223393-0.458637534756762i</v>
      </c>
      <c r="AE142" s="24" t="str">
        <f t="shared" si="57"/>
        <v>0.999803914376052-0.0150399275747931i</v>
      </c>
      <c r="AF142" s="24" t="str">
        <f t="shared" si="71"/>
        <v>2.11728964650502-3.27361999881858i</v>
      </c>
      <c r="AG142" s="24">
        <f t="shared" si="58"/>
        <v>3.898654042597562</v>
      </c>
      <c r="AH142" s="24">
        <f t="shared" si="64"/>
        <v>-0.99669286029681081</v>
      </c>
      <c r="AI142" s="24">
        <f t="shared" si="53"/>
        <v>-57.106294365829434</v>
      </c>
      <c r="AJ142" s="24">
        <f t="shared" si="65"/>
        <v>11.818293972510904</v>
      </c>
      <c r="AL142" s="24" t="str">
        <f t="shared" si="66"/>
        <v>0.000106495032369739-0.0103190935250059i</v>
      </c>
      <c r="AM142" s="24" t="str">
        <f t="shared" si="67"/>
        <v>1.00849470376562+0.773432408765898i</v>
      </c>
      <c r="AN142" s="24" t="str">
        <f t="shared" si="68"/>
        <v>-2.71911983812086+3.47075051999845i</v>
      </c>
      <c r="AO142" s="24">
        <f t="shared" si="59"/>
        <v>4.4090499958757468</v>
      </c>
      <c r="AP142" s="24">
        <f t="shared" si="60"/>
        <v>2.2353569431505864</v>
      </c>
      <c r="AQ142" s="24">
        <f t="shared" si="61"/>
        <v>128.07651854779368</v>
      </c>
      <c r="AR142" s="24">
        <f t="shared" si="62"/>
        <v>12.886900469653458</v>
      </c>
      <c r="AS142" s="24">
        <f t="shared" si="69"/>
        <v>24.705194442164363</v>
      </c>
      <c r="AT142" s="24">
        <f t="shared" si="70"/>
        <v>70.970224181964255</v>
      </c>
    </row>
    <row r="143" spans="4:46">
      <c r="D143" s="13"/>
      <c r="R143" s="12"/>
      <c r="S143" s="12"/>
      <c r="T143" s="12"/>
      <c r="U143" s="12"/>
      <c r="V143" s="12"/>
      <c r="W143" s="12"/>
      <c r="X143" s="12"/>
      <c r="Y143" s="24">
        <v>141</v>
      </c>
      <c r="Z143" s="24">
        <f t="shared" si="54"/>
        <v>5839.9346860303567</v>
      </c>
      <c r="AA143" s="24" t="str">
        <f t="shared" si="63"/>
        <v>36693.3918141544i</v>
      </c>
      <c r="AB143" s="24">
        <f t="shared" si="55"/>
        <v>8.870967741935484</v>
      </c>
      <c r="AD143" s="24" t="str">
        <f t="shared" si="56"/>
        <v>0.281198613064217-0.447022999926073i</v>
      </c>
      <c r="AE143" s="24" t="str">
        <f t="shared" si="57"/>
        <v>0.999778251438218-0.0159936808370563i</v>
      </c>
      <c r="AF143" s="24" t="str">
        <f t="shared" si="71"/>
        <v>1.93655124781257-3.19066723091289i</v>
      </c>
      <c r="AG143" s="24">
        <f t="shared" si="58"/>
        <v>3.7323703077033703</v>
      </c>
      <c r="AH143" s="24">
        <f t="shared" si="64"/>
        <v>-1.0252877468203063</v>
      </c>
      <c r="AI143" s="24">
        <f t="shared" si="53"/>
        <v>-58.744660679281246</v>
      </c>
      <c r="AJ143" s="24">
        <f t="shared" si="65"/>
        <v>11.439694516140353</v>
      </c>
      <c r="AL143" s="24" t="str">
        <f t="shared" si="66"/>
        <v>0.000094169545969278-0.00970364251535937i</v>
      </c>
      <c r="AM143" s="24" t="str">
        <f t="shared" si="67"/>
        <v>1.00960650931974+0.822484311572586i</v>
      </c>
      <c r="AN143" s="24" t="str">
        <f t="shared" si="68"/>
        <v>-2.71496708819568+3.26737534553636i</v>
      </c>
      <c r="AO143" s="24">
        <f t="shared" si="59"/>
        <v>4.2481511200291093</v>
      </c>
      <c r="AP143" s="24">
        <f t="shared" si="60"/>
        <v>2.2641158127098802</v>
      </c>
      <c r="AQ143" s="24">
        <f t="shared" si="61"/>
        <v>129.72428039710849</v>
      </c>
      <c r="AR143" s="24">
        <f t="shared" si="62"/>
        <v>12.563999151239393</v>
      </c>
      <c r="AS143" s="24">
        <f t="shared" si="69"/>
        <v>24.003693667379746</v>
      </c>
      <c r="AT143" s="24">
        <f t="shared" si="70"/>
        <v>70.979619717827234</v>
      </c>
    </row>
    <row r="144" spans="4:46">
      <c r="D144" s="13"/>
      <c r="R144" s="12"/>
      <c r="S144" s="12"/>
      <c r="T144" s="12"/>
      <c r="U144" s="12"/>
      <c r="V144" s="12"/>
      <c r="W144" s="12"/>
      <c r="X144" s="12"/>
      <c r="Y144" s="24">
        <v>142</v>
      </c>
      <c r="Z144" s="24">
        <f t="shared" si="54"/>
        <v>6210.4075822572904</v>
      </c>
      <c r="AA144" s="24" t="str">
        <f t="shared" si="63"/>
        <v>39021.1416724357i</v>
      </c>
      <c r="AB144" s="24">
        <f t="shared" si="55"/>
        <v>8.870967741935484</v>
      </c>
      <c r="AD144" s="24" t="str">
        <f t="shared" si="56"/>
        <v>0.257220440896896-0.434378971415587i</v>
      </c>
      <c r="AE144" s="24" t="str">
        <f t="shared" si="57"/>
        <v>0.999749230525995-0.01700786777671i</v>
      </c>
      <c r="AF144" s="24" t="str">
        <f t="shared" si="71"/>
        <v>1.7653727609973-3.10036259553544i</v>
      </c>
      <c r="AG144" s="24">
        <f t="shared" si="58"/>
        <v>3.567742873171563</v>
      </c>
      <c r="AH144" s="24">
        <f t="shared" si="64"/>
        <v>-1.053174373885015</v>
      </c>
      <c r="AI144" s="24">
        <f t="shared" si="53"/>
        <v>-60.342446714944344</v>
      </c>
      <c r="AJ144" s="24">
        <f t="shared" si="65"/>
        <v>11.04787094554684</v>
      </c>
      <c r="AL144" s="24" t="str">
        <f t="shared" si="66"/>
        <v>0.0000832704637872117-0.00912488519473382i</v>
      </c>
      <c r="AM144" s="24" t="str">
        <f t="shared" si="67"/>
        <v>1.01086380798668+0.874645330664113i</v>
      </c>
      <c r="AN144" s="24" t="str">
        <f t="shared" si="68"/>
        <v>-2.71128447998471+3.07635549689974i</v>
      </c>
      <c r="AO144" s="24">
        <f t="shared" si="59"/>
        <v>4.1006129632911232</v>
      </c>
      <c r="AP144" s="24">
        <f t="shared" si="60"/>
        <v>2.2932002490316146</v>
      </c>
      <c r="AQ144" s="24">
        <f t="shared" si="61"/>
        <v>131.39069584786085</v>
      </c>
      <c r="AR144" s="24">
        <f t="shared" si="62"/>
        <v>12.256975605992535</v>
      </c>
      <c r="AS144" s="24">
        <f t="shared" si="69"/>
        <v>23.304846551539377</v>
      </c>
      <c r="AT144" s="24">
        <f t="shared" si="70"/>
        <v>71.04824913291651</v>
      </c>
    </row>
    <row r="145" spans="4:46">
      <c r="D145" s="13"/>
      <c r="R145" s="12"/>
      <c r="S145" s="12"/>
      <c r="T145" s="12"/>
      <c r="U145" s="12"/>
      <c r="V145" s="12"/>
      <c r="W145" s="12"/>
      <c r="X145" s="12"/>
      <c r="Y145" s="24">
        <v>143</v>
      </c>
      <c r="Z145" s="24">
        <f t="shared" si="54"/>
        <v>6604.3824822253073</v>
      </c>
      <c r="AA145" s="24" t="str">
        <f t="shared" si="63"/>
        <v>41496.5589753123i</v>
      </c>
      <c r="AB145" s="24">
        <f t="shared" si="55"/>
        <v>8.870967741935484</v>
      </c>
      <c r="AD145" s="24" t="str">
        <f t="shared" si="56"/>
        <v>0.23464448452081-0.420881611618082i</v>
      </c>
      <c r="AE145" s="24" t="str">
        <f t="shared" si="57"/>
        <v>0.999716412444419-0.0180863079214104i</v>
      </c>
      <c r="AF145" s="24" t="str">
        <f t="shared" si="71"/>
        <v>1.60420479879276-3.00396356378124i</v>
      </c>
      <c r="AG145" s="24">
        <f t="shared" si="58"/>
        <v>3.4054764907417887</v>
      </c>
      <c r="AH145" s="24">
        <f t="shared" si="64"/>
        <v>-1.0802972525091918</v>
      </c>
      <c r="AI145" s="24">
        <f t="shared" si="53"/>
        <v>-61.896473188355273</v>
      </c>
      <c r="AJ145" s="24">
        <f t="shared" si="65"/>
        <v>10.64355773068495</v>
      </c>
      <c r="AL145" s="24" t="str">
        <f t="shared" si="66"/>
        <v>0.0000736327367867259-0.00858063604908163i</v>
      </c>
      <c r="AM145" s="24" t="str">
        <f t="shared" si="67"/>
        <v>1.0122856330275+0.930112168742922i</v>
      </c>
      <c r="AN145" s="24" t="str">
        <f t="shared" si="68"/>
        <v>-2.70801624656852+2.89696963118034i</v>
      </c>
      <c r="AO145" s="24">
        <f t="shared" si="59"/>
        <v>3.9655749943306091</v>
      </c>
      <c r="AP145" s="24">
        <f t="shared" si="60"/>
        <v>2.3224955911823288</v>
      </c>
      <c r="AQ145" s="24">
        <f t="shared" si="61"/>
        <v>133.06919531248849</v>
      </c>
      <c r="AR145" s="24">
        <f t="shared" si="62"/>
        <v>11.966123347624801</v>
      </c>
      <c r="AS145" s="24">
        <f t="shared" si="69"/>
        <v>22.609681078309752</v>
      </c>
      <c r="AT145" s="24">
        <f t="shared" si="70"/>
        <v>71.172722124133216</v>
      </c>
    </row>
    <row r="146" spans="4:46">
      <c r="D146" s="13"/>
      <c r="R146" s="12"/>
      <c r="S146" s="12"/>
      <c r="T146" s="12"/>
      <c r="U146" s="12"/>
      <c r="V146" s="12"/>
      <c r="W146" s="12"/>
      <c r="X146" s="12"/>
      <c r="Y146" s="24">
        <v>144</v>
      </c>
      <c r="Z146" s="24">
        <f t="shared" si="54"/>
        <v>7023.3503025047467</v>
      </c>
      <c r="AA146" s="24" t="str">
        <f t="shared" si="63"/>
        <v>44129.0114278731i</v>
      </c>
      <c r="AB146" s="24">
        <f t="shared" si="55"/>
        <v>8.870967741935484</v>
      </c>
      <c r="AD146" s="24" t="str">
        <f t="shared" si="56"/>
        <v>0.21350682265596-0.406705065602864i</v>
      </c>
      <c r="AE146" s="24" t="str">
        <f t="shared" si="57"/>
        <v>0.999679300609384-0.0192330602152238i</v>
      </c>
      <c r="AF146" s="24" t="str">
        <f t="shared" si="71"/>
        <v>1.45330494476243-2.902713195855i</v>
      </c>
      <c r="AG146" s="24">
        <f t="shared" si="58"/>
        <v>3.2462038075052648</v>
      </c>
      <c r="AH146" s="24">
        <f t="shared" si="64"/>
        <v>-1.1066118893712009</v>
      </c>
      <c r="AI146" s="24">
        <f t="shared" si="53"/>
        <v>-63.404190819967774</v>
      </c>
      <c r="AJ146" s="24">
        <f t="shared" si="65"/>
        <v>10.227515656053765</v>
      </c>
      <c r="AL146" s="24" t="str">
        <f t="shared" si="66"/>
        <v>0.0000651104080820692-0.00806883936615599i</v>
      </c>
      <c r="AM146" s="24" t="str">
        <f t="shared" si="67"/>
        <v>1.01389350586919+0.989093898978372i</v>
      </c>
      <c r="AN146" s="24" t="str">
        <f t="shared" si="68"/>
        <v>-2.70511289317789+2.72854016401025i</v>
      </c>
      <c r="AO146" s="24">
        <f t="shared" si="59"/>
        <v>3.8422086345556949</v>
      </c>
      <c r="AP146" s="24">
        <f t="shared" si="60"/>
        <v>2.3518830029805109</v>
      </c>
      <c r="AQ146" s="24">
        <f t="shared" si="61"/>
        <v>134.75296997933728</v>
      </c>
      <c r="AR146" s="24">
        <f t="shared" si="62"/>
        <v>11.691618873065121</v>
      </c>
      <c r="AS146" s="24">
        <f t="shared" si="69"/>
        <v>21.919134529118885</v>
      </c>
      <c r="AT146" s="24">
        <f t="shared" si="70"/>
        <v>71.348779159369514</v>
      </c>
    </row>
    <row r="147" spans="4:46">
      <c r="D147" s="13"/>
      <c r="R147" s="12"/>
      <c r="S147" s="12"/>
      <c r="T147" s="12"/>
      <c r="U147" s="12"/>
      <c r="V147" s="12"/>
      <c r="W147" s="12"/>
      <c r="X147" s="12"/>
      <c r="Y147" s="24">
        <v>145</v>
      </c>
      <c r="Z147" s="24">
        <f t="shared" si="54"/>
        <v>7468.8965402065769</v>
      </c>
      <c r="AA147" s="24" t="str">
        <f t="shared" si="63"/>
        <v>46928.4610022704i</v>
      </c>
      <c r="AB147" s="24">
        <f t="shared" si="55"/>
        <v>8.870967741935484</v>
      </c>
      <c r="AD147" s="24" t="str">
        <f t="shared" si="56"/>
        <v>0.193818796792077-0.392017249029284i</v>
      </c>
      <c r="AE147" s="24" t="str">
        <f t="shared" si="57"/>
        <v>0.999637333563685-0.0204524376226933i</v>
      </c>
      <c r="AF147" s="24" t="str">
        <f t="shared" si="71"/>
        <v>1.31275418642131-2.79781007052529i</v>
      </c>
      <c r="AG147" s="24">
        <f t="shared" si="58"/>
        <v>3.0904796949178306</v>
      </c>
      <c r="AH147" s="24">
        <f t="shared" si="64"/>
        <v>-1.1320845385698615</v>
      </c>
      <c r="AI147" s="24">
        <f t="shared" si="53"/>
        <v>-64.86366611206833</v>
      </c>
      <c r="AJ147" s="24">
        <f t="shared" si="65"/>
        <v>9.8005178906771881</v>
      </c>
      <c r="AL147" s="24" t="str">
        <f t="shared" si="66"/>
        <v>0.0000575744056743489-0.00758756158868975i</v>
      </c>
      <c r="AM147" s="24" t="str">
        <f t="shared" si="67"/>
        <v>1.01571176088895+1.05181272791601i</v>
      </c>
      <c r="AN147" s="24" t="str">
        <f t="shared" si="68"/>
        <v>-2.7025304487243+2.57043074852538i</v>
      </c>
      <c r="AO147" s="24">
        <f t="shared" si="59"/>
        <v>3.7297164851026827</v>
      </c>
      <c r="AP147" s="24">
        <f t="shared" si="60"/>
        <v>2.3812415310611441</v>
      </c>
      <c r="AQ147" s="24">
        <f t="shared" si="61"/>
        <v>136.43508973107387</v>
      </c>
      <c r="AR147" s="24">
        <f t="shared" si="62"/>
        <v>11.433516402205088</v>
      </c>
      <c r="AS147" s="24">
        <f t="shared" si="69"/>
        <v>21.234034292882278</v>
      </c>
      <c r="AT147" s="24">
        <f t="shared" si="70"/>
        <v>71.571423619005543</v>
      </c>
    </row>
    <row r="148" spans="4:46">
      <c r="D148" s="13"/>
      <c r="R148" s="12"/>
      <c r="S148" s="12"/>
      <c r="T148" s="12"/>
      <c r="U148" s="12"/>
      <c r="V148" s="12"/>
      <c r="W148" s="12"/>
      <c r="X148" s="12"/>
      <c r="Y148" s="24">
        <v>146</v>
      </c>
      <c r="Z148" s="24">
        <f t="shared" si="54"/>
        <v>7942.7072729684578</v>
      </c>
      <c r="AA148" s="24" t="str">
        <f t="shared" si="63"/>
        <v>49905.5016367439i</v>
      </c>
      <c r="AB148" s="24">
        <f t="shared" si="55"/>
        <v>8.870967741935484</v>
      </c>
      <c r="AD148" s="24" t="str">
        <f t="shared" si="56"/>
        <v>0.175569891003672-0.376976466668969i</v>
      </c>
      <c r="AE148" s="24" t="str">
        <f t="shared" si="57"/>
        <v>0.999589876521295-0.0217490225413276i</v>
      </c>
      <c r="AF148" s="24" t="str">
        <f t="shared" si="71"/>
        <v>1.18247747447784-2.69038414424199i</v>
      </c>
      <c r="AG148" s="24">
        <f t="shared" si="58"/>
        <v>2.9387786274634902</v>
      </c>
      <c r="AH148" s="24">
        <f t="shared" si="64"/>
        <v>-1.1566917194054835</v>
      </c>
      <c r="AI148" s="24">
        <f t="shared" si="53"/>
        <v>-66.273553719664676</v>
      </c>
      <c r="AJ148" s="24">
        <f t="shared" si="65"/>
        <v>9.3633374547491979</v>
      </c>
      <c r="AL148" s="24" t="str">
        <f t="shared" si="66"/>
        <v>0.0000509105901027043-0.00713498410751697i</v>
      </c>
      <c r="AM148" s="24" t="str">
        <f t="shared" si="67"/>
        <v>1.0177679124572+1.11850480236598i</v>
      </c>
      <c r="AN148" s="24" t="str">
        <f t="shared" si="68"/>
        <v>-2.70022980073108+2.42204390271972i</v>
      </c>
      <c r="AO148" s="24">
        <f t="shared" si="59"/>
        <v>3.6273320282899357</v>
      </c>
      <c r="AP148" s="24">
        <f t="shared" si="60"/>
        <v>2.4104502555706477</v>
      </c>
      <c r="AQ148" s="24">
        <f t="shared" si="61"/>
        <v>138.10862637042877</v>
      </c>
      <c r="AR148" s="24">
        <f t="shared" si="62"/>
        <v>11.191746211991152</v>
      </c>
      <c r="AS148" s="24">
        <f t="shared" si="69"/>
        <v>20.555083666740352</v>
      </c>
      <c r="AT148" s="24">
        <f t="shared" si="70"/>
        <v>71.83507265076409</v>
      </c>
    </row>
    <row r="149" spans="4:46">
      <c r="D149" s="13"/>
      <c r="R149" s="12"/>
      <c r="S149" s="12"/>
      <c r="T149" s="12"/>
      <c r="U149" s="12"/>
      <c r="V149" s="12"/>
      <c r="W149" s="12"/>
      <c r="X149" s="12"/>
      <c r="Y149" s="24">
        <v>147</v>
      </c>
      <c r="Z149" s="24">
        <f t="shared" si="54"/>
        <v>8446.5755395671058</v>
      </c>
      <c r="AA149" s="24" t="str">
        <f t="shared" si="63"/>
        <v>53071.3993261905i</v>
      </c>
      <c r="AB149" s="24">
        <f t="shared" si="55"/>
        <v>8.870967741935484</v>
      </c>
      <c r="AD149" s="24" t="str">
        <f t="shared" si="56"/>
        <v>0.158730947206572-0.36172888941603i</v>
      </c>
      <c r="AE149" s="24" t="str">
        <f t="shared" si="57"/>
        <v>0.999536211814864-0.0231276830499927i</v>
      </c>
      <c r="AF149" s="24" t="str">
        <f t="shared" si="71"/>
        <v>1.06226667682508-2.58147873894495i</v>
      </c>
      <c r="AG149" s="24">
        <f t="shared" si="58"/>
        <v>2.7914947559180203</v>
      </c>
      <c r="AH149" s="24">
        <f t="shared" si="64"/>
        <v>-1.1804195526780641</v>
      </c>
      <c r="AI149" s="24">
        <f t="shared" si="53"/>
        <v>-67.633058423173622</v>
      </c>
      <c r="AJ149" s="24">
        <f t="shared" si="65"/>
        <v>8.9167363264944619</v>
      </c>
      <c r="AL149" s="24" t="str">
        <f t="shared" si="66"/>
        <v>0.0000450180276295062-0.00670939647112127i</v>
      </c>
      <c r="AM149" s="24" t="str">
        <f t="shared" si="67"/>
        <v>1.02009306969991+1.18942106216837i</v>
      </c>
      <c r="AN149" s="24" t="str">
        <f t="shared" si="68"/>
        <v>-2.69817610365834+2.28281877742035i</v>
      </c>
      <c r="AO149" s="24">
        <f t="shared" si="59"/>
        <v>3.5343197162814577</v>
      </c>
      <c r="AP149" s="24">
        <f t="shared" si="60"/>
        <v>2.4393904351846842</v>
      </c>
      <c r="AQ149" s="24">
        <f t="shared" si="61"/>
        <v>139.7667765206636</v>
      </c>
      <c r="AR149" s="24">
        <f t="shared" si="62"/>
        <v>10.966116668759314</v>
      </c>
      <c r="AS149" s="24">
        <f t="shared" si="69"/>
        <v>19.882852995253778</v>
      </c>
      <c r="AT149" s="24">
        <f t="shared" si="70"/>
        <v>72.133718097489975</v>
      </c>
    </row>
    <row r="150" spans="4:46">
      <c r="D150" s="13"/>
      <c r="R150" s="12"/>
      <c r="S150" s="12"/>
      <c r="T150" s="12"/>
      <c r="U150" s="12"/>
      <c r="V150" s="12"/>
      <c r="W150" s="12"/>
      <c r="X150" s="12"/>
      <c r="Y150" s="24">
        <v>148</v>
      </c>
      <c r="Z150" s="24">
        <f t="shared" si="54"/>
        <v>8982.4081253027471</v>
      </c>
      <c r="AA150" s="24" t="str">
        <f t="shared" si="63"/>
        <v>56438.1347559928i</v>
      </c>
      <c r="AB150" s="24">
        <f t="shared" si="55"/>
        <v>8.870967741935484</v>
      </c>
      <c r="AD150" s="24" t="str">
        <f t="shared" si="56"/>
        <v>0.143257499633252-0.346406856847092i</v>
      </c>
      <c r="AE150" s="24" t="str">
        <f t="shared" si="57"/>
        <v>0.999475528105659-0.0245935900176443i</v>
      </c>
      <c r="AF150" s="24" t="str">
        <f t="shared" si="71"/>
        <v>0.951804383677942-2.47203842341846i</v>
      </c>
      <c r="AG150" s="24">
        <f t="shared" si="58"/>
        <v>2.6489442333967266</v>
      </c>
      <c r="AH150" s="24">
        <f t="shared" si="64"/>
        <v>-1.203262967765002</v>
      </c>
      <c r="AI150" s="24">
        <f t="shared" si="53"/>
        <v>-68.941889697320633</v>
      </c>
      <c r="AJ150" s="24">
        <f t="shared" si="65"/>
        <v>8.4614563091457544</v>
      </c>
      <c r="AL150" s="24" t="str">
        <f t="shared" si="66"/>
        <v>0.0000398074629519283-0.00630918998904151i</v>
      </c>
      <c r="AM150" s="24" t="str">
        <f t="shared" si="67"/>
        <v>1.0227224051358+1.2648281406739i</v>
      </c>
      <c r="AN150" s="24" t="str">
        <f t="shared" si="68"/>
        <v>-2.69633825171393+2.15222905742708i</v>
      </c>
      <c r="AO150" s="24">
        <f t="shared" si="59"/>
        <v>3.4499753453161359</v>
      </c>
      <c r="AP150" s="24">
        <f t="shared" si="60"/>
        <v>2.4679475485922264</v>
      </c>
      <c r="AQ150" s="24">
        <f t="shared" si="61"/>
        <v>141.40297859399223</v>
      </c>
      <c r="AR150" s="24">
        <f t="shared" si="62"/>
        <v>10.75631982939931</v>
      </c>
      <c r="AS150" s="24">
        <f t="shared" si="69"/>
        <v>19.217776138545062</v>
      </c>
      <c r="AT150" s="24">
        <f t="shared" si="70"/>
        <v>72.461088896671598</v>
      </c>
    </row>
    <row r="151" spans="4:46">
      <c r="D151" s="13"/>
      <c r="R151" s="12"/>
      <c r="S151" s="12"/>
      <c r="T151" s="12"/>
      <c r="U151" s="12"/>
      <c r="V151" s="12"/>
      <c r="W151" s="12"/>
      <c r="X151" s="12"/>
      <c r="Y151" s="24">
        <v>149</v>
      </c>
      <c r="Z151" s="24">
        <f t="shared" si="54"/>
        <v>9552.2327778341514</v>
      </c>
      <c r="AA151" s="24" t="str">
        <f t="shared" si="63"/>
        <v>60018.4486404468i</v>
      </c>
      <c r="AB151" s="24">
        <f t="shared" si="55"/>
        <v>8.870967741935484</v>
      </c>
      <c r="AD151" s="24" t="str">
        <f t="shared" si="56"/>
        <v>0.1290930500086-0.331127927867134i</v>
      </c>
      <c r="AE151" s="24" t="str">
        <f t="shared" si="57"/>
        <v>0.999406908197562-0.0261522350926556i</v>
      </c>
      <c r="AF151" s="24" t="str">
        <f t="shared" si="71"/>
        <v>0.850687289424287-2.36290223517685i</v>
      </c>
      <c r="AG151" s="24">
        <f t="shared" si="58"/>
        <v>2.5113693152126779</v>
      </c>
      <c r="AH151" s="24">
        <f t="shared" si="64"/>
        <v>-1.225224829248593</v>
      </c>
      <c r="AI151" s="24">
        <f t="shared" si="53"/>
        <v>-70.200211670581325</v>
      </c>
      <c r="AJ151" s="24">
        <f t="shared" si="65"/>
        <v>7.9982116717414851</v>
      </c>
      <c r="AL151" s="24" t="str">
        <f t="shared" si="66"/>
        <v>0.0000351999684212934-0.00593285170752789i</v>
      </c>
      <c r="AM151" s="24" t="str">
        <f t="shared" si="67"/>
        <v>1.02569568412435+1.34500931467979i</v>
      </c>
      <c r="AN151" s="24" t="str">
        <f t="shared" si="68"/>
        <v>-2.69468840821049+2.02978098867697i</v>
      </c>
      <c r="AO151" s="24">
        <f t="shared" si="59"/>
        <v>3.3736266063893976</v>
      </c>
      <c r="AP151" s="24">
        <f t="shared" si="60"/>
        <v>2.4960131431588843</v>
      </c>
      <c r="AQ151" s="24">
        <f t="shared" si="61"/>
        <v>143.01101871218702</v>
      </c>
      <c r="AR151" s="24">
        <f t="shared" si="62"/>
        <v>10.561940262403947</v>
      </c>
      <c r="AS151" s="24">
        <f t="shared" si="69"/>
        <v>18.560151934145431</v>
      </c>
      <c r="AT151" s="24">
        <f t="shared" si="70"/>
        <v>72.810807041605699</v>
      </c>
    </row>
    <row r="152" spans="4:46">
      <c r="D152" s="13"/>
      <c r="R152" s="12"/>
      <c r="S152" s="12"/>
      <c r="T152" s="12"/>
      <c r="U152" s="12"/>
      <c r="V152" s="12"/>
      <c r="W152" s="12"/>
      <c r="X152" s="12"/>
      <c r="Y152" s="24">
        <v>150</v>
      </c>
      <c r="Z152" s="24">
        <f t="shared" si="54"/>
        <v>10158.205880770249</v>
      </c>
      <c r="AA152" s="24" t="str">
        <f t="shared" si="63"/>
        <v>63825.8899373609i</v>
      </c>
      <c r="AB152" s="24">
        <f t="shared" si="55"/>
        <v>8.870967741935484</v>
      </c>
      <c r="AD152" s="24" t="str">
        <f t="shared" si="56"/>
        <v>0.116172147503833-0.315994573944782i</v>
      </c>
      <c r="AE152" s="24" t="str">
        <f t="shared" si="57"/>
        <v>0.999329315276937-0.0278094495873938i</v>
      </c>
      <c r="AF152" s="24" t="str">
        <f t="shared" si="71"/>
        <v>0.758448180850754-2.25480148974476i</v>
      </c>
      <c r="AG152" s="24">
        <f t="shared" si="58"/>
        <v>2.3789437574669576</v>
      </c>
      <c r="AH152" s="24">
        <f t="shared" si="64"/>
        <v>-1.2463150261374949</v>
      </c>
      <c r="AI152" s="24">
        <f t="shared" si="53"/>
        <v>-71.408590941415341</v>
      </c>
      <c r="AJ152" s="24">
        <f t="shared" si="65"/>
        <v>7.5276834930321535</v>
      </c>
      <c r="AL152" s="24" t="str">
        <f t="shared" si="66"/>
        <v>0.0000311257493993353-0.00557895873681278i</v>
      </c>
      <c r="AM152" s="24" t="str">
        <f t="shared" si="67"/>
        <v>1.02905786293627+1.4302655054116i</v>
      </c>
      <c r="AN152" s="24" t="str">
        <f t="shared" si="68"/>
        <v>-2.69320158437632+1.91501152461294i</v>
      </c>
      <c r="AO152" s="24">
        <f t="shared" si="59"/>
        <v>3.3046337033758366</v>
      </c>
      <c r="AP152" s="24">
        <f t="shared" si="60"/>
        <v>2.5234864170434399</v>
      </c>
      <c r="AQ152" s="24">
        <f t="shared" si="61"/>
        <v>144.58512135517904</v>
      </c>
      <c r="AR152" s="24">
        <f t="shared" si="62"/>
        <v>10.382466556803525</v>
      </c>
      <c r="AS152" s="24">
        <f t="shared" si="69"/>
        <v>17.910150049835678</v>
      </c>
      <c r="AT152" s="24">
        <f t="shared" si="70"/>
        <v>73.1765304137637</v>
      </c>
    </row>
    <row r="153" spans="4:46">
      <c r="D153" s="13"/>
      <c r="R153" s="12"/>
      <c r="S153" s="12"/>
      <c r="T153" s="12"/>
      <c r="U153" s="12"/>
      <c r="V153" s="12"/>
      <c r="W153" s="12"/>
      <c r="X153" s="12"/>
      <c r="Y153" s="24">
        <v>151</v>
      </c>
      <c r="Z153" s="24">
        <f t="shared" si="54"/>
        <v>10802.620614058389</v>
      </c>
      <c r="AA153" s="24" t="str">
        <f t="shared" si="63"/>
        <v>67874.867121287i</v>
      </c>
      <c r="AB153" s="24">
        <f t="shared" si="55"/>
        <v>8.870967741935484</v>
      </c>
      <c r="AD153" s="24" t="str">
        <f t="shared" si="56"/>
        <v>0.104423179777984-0.301094396169545i</v>
      </c>
      <c r="AE153" s="24" t="str">
        <f t="shared" si="57"/>
        <v>0.999241577378183-0.029571424265384i</v>
      </c>
      <c r="AF153" s="24" t="str">
        <f t="shared" si="71"/>
        <v>0.674575862896152-2.14836132945342i</v>
      </c>
      <c r="AG153" s="24">
        <f t="shared" si="58"/>
        <v>2.2517790736866163</v>
      </c>
      <c r="AH153" s="24">
        <f t="shared" si="64"/>
        <v>-1.2665495597382714</v>
      </c>
      <c r="AI153" s="24">
        <f t="shared" si="53"/>
        <v>-72.567944317155494</v>
      </c>
      <c r="AJ153" s="24">
        <f t="shared" si="65"/>
        <v>7.0505155762910494</v>
      </c>
      <c r="AL153" s="24" t="str">
        <f t="shared" si="66"/>
        <v>0.0000275230877254187-0.00524617291032813i</v>
      </c>
      <c r="AM153" s="24" t="str">
        <f t="shared" si="67"/>
        <v>1.03285976423919+1.52091633193286i</v>
      </c>
      <c r="AN153" s="24" t="str">
        <f t="shared" si="68"/>
        <v>-2.69185526127455+1.8074865852499i</v>
      </c>
      <c r="AO153" s="24">
        <f t="shared" si="59"/>
        <v>3.2423899369924372</v>
      </c>
      <c r="AP153" s="24">
        <f t="shared" si="60"/>
        <v>2.5502754816166378</v>
      </c>
      <c r="AQ153" s="24">
        <f t="shared" si="61"/>
        <v>146.1200216923267</v>
      </c>
      <c r="AR153" s="24">
        <f t="shared" si="62"/>
        <v>10.217304857385303</v>
      </c>
      <c r="AS153" s="24">
        <f t="shared" si="69"/>
        <v>17.267820433676352</v>
      </c>
      <c r="AT153" s="24">
        <f t="shared" si="70"/>
        <v>73.552077375171208</v>
      </c>
    </row>
    <row r="154" spans="4:46">
      <c r="D154" s="13"/>
      <c r="R154" s="12"/>
      <c r="S154" s="12"/>
      <c r="T154" s="12"/>
      <c r="U154" s="12"/>
      <c r="V154" s="12"/>
      <c r="W154" s="12"/>
      <c r="X154" s="12"/>
      <c r="Y154" s="24">
        <v>152</v>
      </c>
      <c r="Z154" s="24">
        <f t="shared" si="54"/>
        <v>11487.915632049675</v>
      </c>
      <c r="AA154" s="24" t="str">
        <f t="shared" si="63"/>
        <v>72180.7027094132i</v>
      </c>
      <c r="AB154" s="24">
        <f t="shared" si="55"/>
        <v>8.870967741935484</v>
      </c>
      <c r="AD154" s="24" t="str">
        <f t="shared" si="56"/>
        <v>0.0937708195927369-0.286500746004904i</v>
      </c>
      <c r="AE154" s="24" t="str">
        <f t="shared" si="57"/>
        <v>0.99914236985018-0.0314447300289783i</v>
      </c>
      <c r="AF154" s="24" t="str">
        <f t="shared" si="71"/>
        <v>0.598532625626095-2.0441051541758i</v>
      </c>
      <c r="AG154" s="24">
        <f t="shared" si="58"/>
        <v>2.1299312630380678</v>
      </c>
      <c r="AH154" s="24">
        <f t="shared" si="64"/>
        <v>-1.2859496588093504</v>
      </c>
      <c r="AI154" s="24">
        <f t="shared" si="53"/>
        <v>-73.679488116063979</v>
      </c>
      <c r="AJ154" s="24">
        <f t="shared" si="65"/>
        <v>6.5673117630005118</v>
      </c>
      <c r="AL154" s="24" t="str">
        <f t="shared" si="66"/>
        <v>0.0000243374073450602-0.00493323575715411i</v>
      </c>
      <c r="AM154" s="24" t="str">
        <f t="shared" si="67"/>
        <v>1.03715883988981+1.61730121807914i</v>
      </c>
      <c r="AN154" s="24" t="str">
        <f t="shared" si="68"/>
        <v>-2.69062904913405+1.70679942273897i</v>
      </c>
      <c r="AO154" s="24">
        <f t="shared" si="59"/>
        <v>3.1863221666219004</v>
      </c>
      <c r="AP154" s="24">
        <f t="shared" si="60"/>
        <v>2.5762982741474487</v>
      </c>
      <c r="AQ154" s="24">
        <f t="shared" si="61"/>
        <v>147.61101787548674</v>
      </c>
      <c r="AR154" s="24">
        <f t="shared" si="62"/>
        <v>10.065793697428724</v>
      </c>
      <c r="AS154" s="24">
        <f t="shared" si="69"/>
        <v>16.633105460429235</v>
      </c>
      <c r="AT154" s="24">
        <f t="shared" si="70"/>
        <v>73.931529759422759</v>
      </c>
    </row>
    <row r="155" spans="4:46">
      <c r="D155" s="13"/>
      <c r="R155" s="12"/>
      <c r="S155" s="12"/>
      <c r="T155" s="12"/>
      <c r="U155" s="12"/>
      <c r="V155" s="12"/>
      <c r="W155" s="12"/>
      <c r="X155" s="12"/>
      <c r="Y155" s="24">
        <v>153</v>
      </c>
      <c r="Z155" s="24">
        <f t="shared" si="54"/>
        <v>12216.684292082227</v>
      </c>
      <c r="AA155" s="24" t="str">
        <f t="shared" si="63"/>
        <v>76759.6912464627i</v>
      </c>
      <c r="AB155" s="24">
        <f t="shared" si="55"/>
        <v>8.870967741935484</v>
      </c>
      <c r="AD155" s="24" t="str">
        <f t="shared" si="56"/>
        <v>0.0841381034537051-0.27227363691395i</v>
      </c>
      <c r="AE155" s="24" t="str">
        <f t="shared" si="57"/>
        <v>0.999030195571472-0.0334363394934799i</v>
      </c>
      <c r="AF155" s="24" t="str">
        <f t="shared" si="71"/>
        <v>0.529769084337519-1.94246112855807i</v>
      </c>
      <c r="AG155" s="24">
        <f t="shared" si="58"/>
        <v>2.0134076881443819</v>
      </c>
      <c r="AH155" s="24">
        <f t="shared" si="64"/>
        <v>-1.3045409434057504</v>
      </c>
      <c r="AI155" s="24">
        <f t="shared" si="53"/>
        <v>-74.744690259164287</v>
      </c>
      <c r="AJ155" s="24">
        <f t="shared" si="65"/>
        <v>6.0786344524121727</v>
      </c>
      <c r="AL155" s="24" t="str">
        <f t="shared" si="66"/>
        <v>0.0000215204479882834-0.00463896376991692i</v>
      </c>
      <c r="AM155" s="24" t="str">
        <f t="shared" si="67"/>
        <v>1.04202003215089+1.71978055363697i</v>
      </c>
      <c r="AN155" s="24" t="str">
        <f t="shared" si="68"/>
        <v>-2.68950437896299+1.61256908752709i</v>
      </c>
      <c r="AO155" s="24">
        <f t="shared" si="59"/>
        <v>3.1358910801411857</v>
      </c>
      <c r="AP155" s="24">
        <f t="shared" si="60"/>
        <v>2.6014831138356032</v>
      </c>
      <c r="AQ155" s="24">
        <f t="shared" si="61"/>
        <v>149.05400289733157</v>
      </c>
      <c r="AR155" s="24">
        <f t="shared" si="62"/>
        <v>9.9272193958402148</v>
      </c>
      <c r="AS155" s="24">
        <f t="shared" si="69"/>
        <v>16.005853848252386</v>
      </c>
      <c r="AT155" s="24">
        <f t="shared" si="70"/>
        <v>74.309312638167285</v>
      </c>
    </row>
    <row r="156" spans="4:46">
      <c r="D156" s="13"/>
      <c r="R156" s="12"/>
      <c r="S156" s="12"/>
      <c r="T156" s="12"/>
      <c r="U156" s="12"/>
      <c r="V156" s="12"/>
      <c r="W156" s="12"/>
      <c r="X156" s="12"/>
      <c r="Y156" s="24">
        <v>154</v>
      </c>
      <c r="Z156" s="24">
        <f t="shared" si="54"/>
        <v>12991.684468506162</v>
      </c>
      <c r="AA156" s="24" t="str">
        <f t="shared" si="63"/>
        <v>81629.1609680312i</v>
      </c>
      <c r="AB156" s="24">
        <f t="shared" si="55"/>
        <v>8.870967741935484</v>
      </c>
      <c r="AD156" s="24" t="str">
        <f t="shared" si="56"/>
        <v>0.07544814363441-0.258460846872918i</v>
      </c>
      <c r="AE156" s="24" t="str">
        <f t="shared" si="57"/>
        <v>0.998903362631692-0.0355536494186126i</v>
      </c>
      <c r="AF156" s="24" t="str">
        <f t="shared" si="71"/>
        <v>0.467736402485918-1.84377005196069i</v>
      </c>
      <c r="AG156" s="24">
        <f t="shared" si="58"/>
        <v>1.9021738476589345</v>
      </c>
      <c r="AH156" s="24">
        <f t="shared" si="64"/>
        <v>-1.3223526522347973</v>
      </c>
      <c r="AI156" s="24">
        <f t="shared" si="53"/>
        <v>-75.765226000984569</v>
      </c>
      <c r="AJ156" s="24">
        <f t="shared" si="65"/>
        <v>5.5850041282495795</v>
      </c>
      <c r="AL156" s="24" t="str">
        <f t="shared" si="66"/>
        <v>0.00001902953441351-0.00436224395126293i</v>
      </c>
      <c r="AM156" s="24" t="str">
        <f t="shared" si="67"/>
        <v>1.04751674582121+1.82873690999794i</v>
      </c>
      <c r="AN156" s="24" t="str">
        <f t="shared" si="68"/>
        <v>-2.68846422180509+1.52443898949408i</v>
      </c>
      <c r="AO156" s="24">
        <f t="shared" si="59"/>
        <v>3.0905912225035159</v>
      </c>
      <c r="AP156" s="24">
        <f t="shared" si="60"/>
        <v>2.6257689151452714</v>
      </c>
      <c r="AQ156" s="24">
        <f t="shared" si="61"/>
        <v>150.44547681446883</v>
      </c>
      <c r="AR156" s="24">
        <f t="shared" si="62"/>
        <v>9.8008313367818864</v>
      </c>
      <c r="AS156" s="24">
        <f t="shared" si="69"/>
        <v>15.385835465031466</v>
      </c>
      <c r="AT156" s="24">
        <f t="shared" si="70"/>
        <v>74.680250813484264</v>
      </c>
    </row>
    <row r="157" spans="4:46">
      <c r="D157" s="13"/>
      <c r="R157" s="12"/>
      <c r="S157" s="12"/>
      <c r="T157" s="12"/>
      <c r="U157" s="12"/>
      <c r="V157" s="12"/>
      <c r="W157" s="12"/>
      <c r="X157" s="12"/>
      <c r="Y157" s="24">
        <v>155</v>
      </c>
      <c r="Z157" s="24">
        <f t="shared" si="54"/>
        <v>13815.848989288772</v>
      </c>
      <c r="AA157" s="24" t="str">
        <f t="shared" si="63"/>
        <v>86807.5393757111i</v>
      </c>
      <c r="AB157" s="24">
        <f t="shared" si="55"/>
        <v>8.870967741935484</v>
      </c>
      <c r="AD157" s="24" t="str">
        <f t="shared" si="56"/>
        <v>0.067625492885863-0.245099127487954i</v>
      </c>
      <c r="AE157" s="24" t="str">
        <f t="shared" si="57"/>
        <v>0.99875995916309-0.0378045039494276i</v>
      </c>
      <c r="AF157" s="24" t="str">
        <f t="shared" si="71"/>
        <v>0.411896035249985-1.74829398940423i</v>
      </c>
      <c r="AG157" s="24">
        <f t="shared" si="58"/>
        <v>1.7961598529200049</v>
      </c>
      <c r="AH157" s="24">
        <f t="shared" si="64"/>
        <v>-1.3394169426467166</v>
      </c>
      <c r="AI157" s="24">
        <f t="shared" si="53"/>
        <v>-76.742937821973101</v>
      </c>
      <c r="AJ157" s="24">
        <f t="shared" si="65"/>
        <v>5.0868996995405329</v>
      </c>
      <c r="AL157" s="24" t="str">
        <f t="shared" si="66"/>
        <v>0.0000168269301728592-0.00410202962291598i</v>
      </c>
      <c r="AM157" s="24" t="str">
        <f t="shared" si="67"/>
        <v>1.05373194529126+1.94457630989287i</v>
      </c>
      <c r="AN157" s="24" t="str">
        <f t="shared" si="68"/>
        <v>-2.68749283142203+1.44207554871832i</v>
      </c>
      <c r="AO157" s="24">
        <f t="shared" si="59"/>
        <v>3.0499507548739282</v>
      </c>
      <c r="AP157" s="24">
        <f t="shared" si="60"/>
        <v>2.6491050893878803</v>
      </c>
      <c r="AQ157" s="24">
        <f t="shared" si="61"/>
        <v>151.78254110855221</v>
      </c>
      <c r="AR157" s="24">
        <f t="shared" si="62"/>
        <v>9.685856543924757</v>
      </c>
      <c r="AS157" s="24">
        <f t="shared" si="69"/>
        <v>14.77275624346529</v>
      </c>
      <c r="AT157" s="24">
        <f t="shared" si="70"/>
        <v>75.039603286579108</v>
      </c>
    </row>
    <row r="158" spans="4:46">
      <c r="D158" s="13"/>
      <c r="R158" s="12"/>
      <c r="S158" s="12"/>
      <c r="T158" s="12"/>
      <c r="U158" s="12"/>
      <c r="V158" s="12"/>
      <c r="W158" s="12"/>
      <c r="X158" s="12"/>
      <c r="Y158" s="24">
        <v>156</v>
      </c>
      <c r="Z158" s="24">
        <f t="shared" si="54"/>
        <v>14692.296734695852</v>
      </c>
      <c r="AA158" s="24" t="str">
        <f t="shared" si="63"/>
        <v>92314.4229721636i</v>
      </c>
      <c r="AB158" s="24">
        <f t="shared" si="55"/>
        <v>8.870967741935484</v>
      </c>
      <c r="AD158" s="24" t="str">
        <f t="shared" si="56"/>
        <v>0.0605971928523279-0.232215451914649i</v>
      </c>
      <c r="AE158" s="24" t="str">
        <f t="shared" si="57"/>
        <v>0.998597824968982-0.0401972185954476i</v>
      </c>
      <c r="AF158" s="24" t="str">
        <f t="shared" si="71"/>
        <v>0.361727215201968-1.65622517949698i</v>
      </c>
      <c r="AG158" s="24">
        <f t="shared" si="58"/>
        <v>1.6952664756366695</v>
      </c>
      <c r="AH158" s="24">
        <f t="shared" si="64"/>
        <v>-1.355768267688841</v>
      </c>
      <c r="AI158" s="24">
        <f t="shared" si="53"/>
        <v>-77.679799736333408</v>
      </c>
      <c r="AJ158" s="24">
        <f t="shared" si="65"/>
        <v>4.5847594761801371</v>
      </c>
      <c r="AL158" s="24" t="str">
        <f t="shared" si="66"/>
        <v>0.000014879266129267-0.00385733648217347i</v>
      </c>
      <c r="AM158" s="24" t="str">
        <f t="shared" si="67"/>
        <v>1.06075939223194+2.06772955001841i</v>
      </c>
      <c r="AN158" s="24" t="str">
        <f t="shared" si="68"/>
        <v>-2.68657550654542+1.36516693077575i</v>
      </c>
      <c r="AO158" s="24">
        <f t="shared" si="59"/>
        <v>3.0135309358381344</v>
      </c>
      <c r="AP158" s="24">
        <f t="shared" si="60"/>
        <v>2.6714511776821745</v>
      </c>
      <c r="AQ158" s="24">
        <f t="shared" si="61"/>
        <v>153.062877656442</v>
      </c>
      <c r="AR158" s="24">
        <f t="shared" si="62"/>
        <v>9.581513082793947</v>
      </c>
      <c r="AS158" s="24">
        <f t="shared" si="69"/>
        <v>14.166272558974084</v>
      </c>
      <c r="AT158" s="24">
        <f t="shared" si="70"/>
        <v>75.38307792010859</v>
      </c>
    </row>
    <row r="159" spans="4:46">
      <c r="D159" s="13"/>
      <c r="R159" s="12"/>
      <c r="S159" s="12"/>
      <c r="T159" s="12"/>
      <c r="U159" s="12"/>
      <c r="V159" s="12"/>
      <c r="W159" s="12"/>
      <c r="X159" s="12"/>
      <c r="Y159" s="24">
        <v>157</v>
      </c>
      <c r="Z159" s="24">
        <f t="shared" si="54"/>
        <v>15624.344440049217</v>
      </c>
      <c r="AA159" s="24" t="str">
        <f t="shared" si="63"/>
        <v>98170.6514200303i</v>
      </c>
      <c r="AB159" s="24">
        <f t="shared" si="55"/>
        <v>8.870967741935484</v>
      </c>
      <c r="AD159" s="24" t="str">
        <f t="shared" si="56"/>
        <v>0.0542935437542146-0.2198282495861i</v>
      </c>
      <c r="AE159" s="24" t="str">
        <f t="shared" si="57"/>
        <v>0.998414519555134-0.0427406048481246i</v>
      </c>
      <c r="AF159" s="24" t="str">
        <f t="shared" si="71"/>
        <v>0.316732448245087-1.56769484816188i</v>
      </c>
      <c r="AG159" s="24">
        <f t="shared" si="58"/>
        <v>1.5993706827138685</v>
      </c>
      <c r="AH159" s="24">
        <f t="shared" si="64"/>
        <v>-1.3714428309577842</v>
      </c>
      <c r="AI159" s="24">
        <f t="shared" si="53"/>
        <v>-78.577886057354632</v>
      </c>
      <c r="AJ159" s="24">
        <f t="shared" si="65"/>
        <v>4.0789826182655498</v>
      </c>
      <c r="AL159" s="24" t="str">
        <f t="shared" si="66"/>
        <v>0.0000131570350836763-0.00362723889151295i</v>
      </c>
      <c r="AM159" s="24" t="str">
        <f t="shared" si="67"/>
        <v>1.06870504150076+2.19865357437487i</v>
      </c>
      <c r="AN159" s="24" t="str">
        <f t="shared" si="68"/>
        <v>-2.68569836914582+1.29342186171037i</v>
      </c>
      <c r="AO159" s="24">
        <f t="shared" si="59"/>
        <v>2.9809253332451719</v>
      </c>
      <c r="AP159" s="24">
        <f t="shared" si="60"/>
        <v>2.6927762655658887</v>
      </c>
      <c r="AQ159" s="24">
        <f t="shared" si="61"/>
        <v>154.28471518992438</v>
      </c>
      <c r="AR159" s="24">
        <f t="shared" si="62"/>
        <v>9.4870219576487678</v>
      </c>
      <c r="AS159" s="24">
        <f t="shared" si="69"/>
        <v>13.566004575914317</v>
      </c>
      <c r="AT159" s="24">
        <f t="shared" si="70"/>
        <v>75.706829132569752</v>
      </c>
    </row>
    <row r="160" spans="4:46">
      <c r="D160" s="13"/>
      <c r="R160" s="12"/>
      <c r="S160" s="12"/>
      <c r="T160" s="12"/>
      <c r="U160" s="12"/>
      <c r="V160" s="12"/>
      <c r="W160" s="12"/>
      <c r="X160" s="12"/>
      <c r="Y160" s="24">
        <v>158</v>
      </c>
      <c r="Z160" s="24">
        <f t="shared" si="54"/>
        <v>16615.519247226184</v>
      </c>
      <c r="AA160" s="24" t="str">
        <f t="shared" si="63"/>
        <v>104398.386405331i</v>
      </c>
      <c r="AB160" s="24">
        <f t="shared" si="55"/>
        <v>8.870967741935484</v>
      </c>
      <c r="AD160" s="24" t="str">
        <f t="shared" si="56"/>
        <v>0.0486486354123912-0.207948589969196i</v>
      </c>
      <c r="AE160" s="24" t="str">
        <f t="shared" si="57"/>
        <v>0.998207286125559-0.0454439953014893i</v>
      </c>
      <c r="AF160" s="24" t="str">
        <f t="shared" si="71"/>
        <v>0.276441305923695-1.48278165845527i</v>
      </c>
      <c r="AG160" s="24">
        <f t="shared" si="58"/>
        <v>1.5083306143787438</v>
      </c>
      <c r="AH160" s="24">
        <f t="shared" si="64"/>
        <v>-1.3864781172178402</v>
      </c>
      <c r="AI160" s="24">
        <f t="shared" si="53"/>
        <v>-79.439344503826888</v>
      </c>
      <c r="AJ160" s="24">
        <f t="shared" si="65"/>
        <v>3.5699309190428301</v>
      </c>
      <c r="AL160" s="24" t="str">
        <f t="shared" si="66"/>
        <v>0.0000116341448684942-0.00341086638776241i</v>
      </c>
      <c r="AM160" s="24" t="str">
        <f t="shared" si="67"/>
        <v>1.07768861492399+2.33783289489902i</v>
      </c>
      <c r="AN160" s="24" t="str">
        <f t="shared" si="68"/>
        <v>-2.68484815542109+1.22656851802864i</v>
      </c>
      <c r="AO160" s="24">
        <f t="shared" si="59"/>
        <v>2.9517587887710275</v>
      </c>
      <c r="AP160" s="24">
        <f t="shared" si="60"/>
        <v>2.7130582320098795</v>
      </c>
      <c r="AQ160" s="24">
        <f t="shared" si="61"/>
        <v>155.44678626739102</v>
      </c>
      <c r="AR160" s="24">
        <f t="shared" si="62"/>
        <v>9.4016173002433643</v>
      </c>
      <c r="AS160" s="24">
        <f t="shared" si="69"/>
        <v>12.971548219286195</v>
      </c>
      <c r="AT160" s="24">
        <f t="shared" si="70"/>
        <v>76.007441763564131</v>
      </c>
    </row>
    <row r="161" spans="4:46">
      <c r="D161" s="13"/>
      <c r="R161" s="12"/>
      <c r="S161" s="12"/>
      <c r="T161" s="12"/>
      <c r="U161" s="12"/>
      <c r="V161" s="12"/>
      <c r="W161" s="12"/>
      <c r="X161" s="12"/>
      <c r="Y161" s="24">
        <v>159</v>
      </c>
      <c r="Z161" s="24">
        <f t="shared" si="54"/>
        <v>17669.572052398642</v>
      </c>
      <c r="AA161" s="24" t="str">
        <f t="shared" si="63"/>
        <v>111021.195503782i</v>
      </c>
      <c r="AB161" s="24">
        <f t="shared" si="55"/>
        <v>8.870967741935484</v>
      </c>
      <c r="AD161" s="24" t="str">
        <f t="shared" si="56"/>
        <v>0.0436006792726577-0.196581289719676i</v>
      </c>
      <c r="AE161" s="24" t="str">
        <f t="shared" si="57"/>
        <v>0.997973011055624-0.0483172690978652i</v>
      </c>
      <c r="AF161" s="24" t="str">
        <f t="shared" si="71"/>
        <v>0.240412797247109-1.4015196135155i</v>
      </c>
      <c r="AG161" s="24">
        <f t="shared" si="58"/>
        <v>1.4219899929847666</v>
      </c>
      <c r="AH161" s="24">
        <f t="shared" si="64"/>
        <v>-1.4009124948005365</v>
      </c>
      <c r="AI161" s="24">
        <f t="shared" si="53"/>
        <v>-80.266373419213622</v>
      </c>
      <c r="AJ161" s="24">
        <f t="shared" si="65"/>
        <v>3.057930802603666</v>
      </c>
      <c r="AL161" s="24" t="str">
        <f t="shared" si="66"/>
        <v>0.0000102875231464542-0.00320740039803604i</v>
      </c>
      <c r="AM161" s="24" t="str">
        <f t="shared" si="67"/>
        <v>1.08784537489607+2.4857810544469i</v>
      </c>
      <c r="AN161" s="24" t="str">
        <f t="shared" si="68"/>
        <v>-2.68401201641301+1.16435348726122i</v>
      </c>
      <c r="AO161" s="24">
        <f t="shared" si="59"/>
        <v>2.9256861669609737</v>
      </c>
      <c r="AP161" s="24">
        <f t="shared" si="60"/>
        <v>2.7322828841624576</v>
      </c>
      <c r="AQ161" s="24">
        <f t="shared" si="61"/>
        <v>156.54827769834083</v>
      </c>
      <c r="AR161" s="24">
        <f t="shared" si="62"/>
        <v>9.3245547661553765</v>
      </c>
      <c r="AS161" s="24">
        <f t="shared" si="69"/>
        <v>12.382485568759042</v>
      </c>
      <c r="AT161" s="24">
        <f t="shared" si="70"/>
        <v>76.281904279127204</v>
      </c>
    </row>
    <row r="162" spans="4:46">
      <c r="D162" s="13"/>
      <c r="R162" s="12"/>
      <c r="S162" s="12"/>
      <c r="T162" s="12"/>
      <c r="U162" s="12"/>
      <c r="V162" s="12"/>
      <c r="W162" s="12"/>
      <c r="X162" s="12"/>
      <c r="Y162" s="24">
        <v>160</v>
      </c>
      <c r="Z162" s="24">
        <f t="shared" si="54"/>
        <v>18790.49170052441</v>
      </c>
      <c r="AA162" s="24" t="str">
        <f t="shared" si="63"/>
        <v>118064.141367415i</v>
      </c>
      <c r="AB162" s="24">
        <f t="shared" si="55"/>
        <v>8.870967741935484</v>
      </c>
      <c r="AD162" s="24" t="str">
        <f t="shared" si="56"/>
        <v>0.039092178703252-0.18572592754989i</v>
      </c>
      <c r="AE162" s="24" t="str">
        <f t="shared" si="57"/>
        <v>0.997708178303007-0.0513708774682655i</v>
      </c>
      <c r="AF162" s="24" t="str">
        <f t="shared" si="71"/>
        <v>0.208236586137323-1.32390530066749i</v>
      </c>
      <c r="AG162" s="24">
        <f t="shared" si="58"/>
        <v>1.3401819730699274</v>
      </c>
      <c r="AH162" s="24">
        <f t="shared" si="64"/>
        <v>-1.4147848845266244</v>
      </c>
      <c r="AI162" s="24">
        <f t="shared" si="53"/>
        <v>-81.061202802279112</v>
      </c>
      <c r="AJ162" s="24">
        <f t="shared" si="65"/>
        <v>2.5432754379595623</v>
      </c>
      <c r="AL162" s="24" t="str">
        <f t="shared" si="66"/>
        <v>9.09676793515353E-06-0.00301607115034886i</v>
      </c>
      <c r="AM162" s="24" t="str">
        <f t="shared" si="67"/>
        <v>1.09932812223931+2.64304212530359i</v>
      </c>
      <c r="AN162" s="24" t="str">
        <f t="shared" si="68"/>
        <v>-2.68317732532639+1.10654079480136i</v>
      </c>
      <c r="AO162" s="24">
        <f t="shared" si="59"/>
        <v>2.9023909264096912</v>
      </c>
      <c r="AP162" s="24">
        <f t="shared" si="60"/>
        <v>2.750443024810338</v>
      </c>
      <c r="AQ162" s="24">
        <f t="shared" si="61"/>
        <v>157.58877711282835</v>
      </c>
      <c r="AR162" s="24">
        <f t="shared" si="62"/>
        <v>9.2551181534078957</v>
      </c>
      <c r="AS162" s="24">
        <f t="shared" si="69"/>
        <v>11.798393591367457</v>
      </c>
      <c r="AT162" s="24">
        <f t="shared" si="70"/>
        <v>76.527574310549241</v>
      </c>
    </row>
    <row r="163" spans="4:46">
      <c r="D163" s="13"/>
      <c r="R163" s="12"/>
      <c r="S163" s="12"/>
      <c r="T163" s="12"/>
      <c r="U163" s="12"/>
      <c r="V163" s="12"/>
      <c r="W163" s="12"/>
      <c r="X163" s="12"/>
      <c r="Y163" s="24">
        <v>161</v>
      </c>
      <c r="Z163" s="24">
        <f t="shared" si="54"/>
        <v>19982.5200803064</v>
      </c>
      <c r="AA163" s="24" t="str">
        <f t="shared" si="63"/>
        <v>125553.876569002i</v>
      </c>
      <c r="AB163" s="24">
        <f t="shared" si="55"/>
        <v>8.870967741935484</v>
      </c>
      <c r="AD163" s="24" t="str">
        <f t="shared" si="56"/>
        <v>0.035069971263519-0.175377758935743i</v>
      </c>
      <c r="AE163" s="24" t="str">
        <f t="shared" si="57"/>
        <v>0.997408818160732-0.0546158690737528i</v>
      </c>
      <c r="AF163" s="24" t="str">
        <f t="shared" si="71"/>
        <v>0.179533295092918-1.24990442048485i</v>
      </c>
      <c r="AG163" s="24">
        <f t="shared" si="58"/>
        <v>1.2627324595473459</v>
      </c>
      <c r="AH163" s="24">
        <f t="shared" si="64"/>
        <v>-1.4281344891621366</v>
      </c>
      <c r="AI163" s="24">
        <f t="shared" si="53"/>
        <v>-81.826078806062227</v>
      </c>
      <c r="AJ163" s="24">
        <f t="shared" si="65"/>
        <v>2.026226889960467</v>
      </c>
      <c r="AL163" s="24" t="str">
        <f t="shared" si="66"/>
        <v>8.04383856857718E-06-0.00283615476750446i</v>
      </c>
      <c r="AM163" s="24" t="str">
        <f t="shared" si="67"/>
        <v>1.11230944549476+2.81019223409782i</v>
      </c>
      <c r="AN163" s="24" t="str">
        <f t="shared" si="68"/>
        <v>-2.68233148875198+1.05291099286848i</v>
      </c>
      <c r="AO163" s="24">
        <f t="shared" si="59"/>
        <v>2.8815835532661027</v>
      </c>
      <c r="AP163" s="24">
        <f t="shared" si="60"/>
        <v>2.7675374933029966</v>
      </c>
      <c r="AQ163" s="24">
        <f t="shared" si="61"/>
        <v>158.56821801047704</v>
      </c>
      <c r="AR163" s="24">
        <f t="shared" si="62"/>
        <v>9.1926243346468581</v>
      </c>
      <c r="AS163" s="24">
        <f t="shared" si="69"/>
        <v>11.218851224607326</v>
      </c>
      <c r="AT163" s="24">
        <f t="shared" si="70"/>
        <v>76.742139204414812</v>
      </c>
    </row>
    <row r="164" spans="4:46">
      <c r="D164" s="13"/>
      <c r="R164" s="12"/>
      <c r="S164" s="12"/>
      <c r="T164" s="12"/>
      <c r="U164" s="12"/>
      <c r="V164" s="12"/>
      <c r="W164" s="12"/>
      <c r="X164" s="12"/>
      <c r="Y164" s="24">
        <v>162</v>
      </c>
      <c r="Z164" s="24">
        <f t="shared" si="54"/>
        <v>21250.168176743602</v>
      </c>
      <c r="AA164" s="24" t="str">
        <f t="shared" si="63"/>
        <v>133518.744463211i</v>
      </c>
      <c r="AB164" s="24">
        <f t="shared" si="55"/>
        <v>8.870967741935484</v>
      </c>
      <c r="AD164" s="24" t="str">
        <f t="shared" si="56"/>
        <v>0.0314851724778772-0.16552852867955i</v>
      </c>
      <c r="AE164" s="24" t="str">
        <f t="shared" si="57"/>
        <v>0.997070449696884-0.0580639147776002i</v>
      </c>
      <c r="AF164" s="24" t="str">
        <f t="shared" si="71"/>
        <v>0.153954105937074-1.17945758666441i</v>
      </c>
      <c r="AG164" s="24">
        <f t="shared" si="58"/>
        <v>1.1894629315262908</v>
      </c>
      <c r="AH164" s="24">
        <f t="shared" ref="AH164:AH195" si="72">IMARGUMENT(AF164)</f>
        <v>-1.4410005771087593</v>
      </c>
      <c r="AI164" s="24">
        <f t="shared" si="53"/>
        <v>-82.56325134424786</v>
      </c>
      <c r="AJ164" s="24">
        <f t="shared" ref="AJ164:AJ195" si="73">20*LOG(AG164,10)</f>
        <v>1.5070182442470184</v>
      </c>
      <c r="AL164" s="24" t="str">
        <f t="shared" ref="AL164:AL195" si="74">IMDIV(1,IMSUM(1,IMDIV(AA164,wp2e)))</f>
        <v>7.11278241819913E-06-0.00266697053349402i</v>
      </c>
      <c r="AM164" s="24" t="str">
        <f t="shared" ref="AM164:AM195" si="75">IMDIV(IMSUM(1,IMDIV(AA164,wz2e)),IMSUM(1,IMDIV(AA164,wp1e)))</f>
        <v>1.12698425177169+2.987841101198i</v>
      </c>
      <c r="AN164" s="24" t="str">
        <f t="shared" ref="AN164:AN195" si="76">IMPRODUCT($AK$2,AL164,AM164)</f>
        <v>-2.68146175908464+1.00326030755396i</v>
      </c>
      <c r="AO164" s="24">
        <f t="shared" si="59"/>
        <v>2.8629998969868229</v>
      </c>
      <c r="AP164" s="24">
        <f t="shared" si="60"/>
        <v>2.783570213481553</v>
      </c>
      <c r="AQ164" s="24">
        <f t="shared" si="61"/>
        <v>159.48682521082256</v>
      </c>
      <c r="AR164" s="24">
        <f t="shared" si="62"/>
        <v>9.1364266479062621</v>
      </c>
      <c r="AS164" s="24">
        <f t="shared" ref="AS164:AS195" si="77">AR164+AJ164</f>
        <v>10.64344489215328</v>
      </c>
      <c r="AT164" s="24">
        <f t="shared" ref="AT164:AT195" si="78">AQ164+AI164</f>
        <v>76.923573866574699</v>
      </c>
    </row>
    <row r="165" spans="4:46">
      <c r="D165" s="13"/>
      <c r="R165" s="12"/>
      <c r="S165" s="12"/>
      <c r="T165" s="12"/>
      <c r="U165" s="12"/>
      <c r="V165" s="12"/>
      <c r="W165" s="12"/>
      <c r="X165" s="12"/>
      <c r="Y165" s="24">
        <v>163</v>
      </c>
      <c r="Z165" s="24">
        <f t="shared" si="54"/>
        <v>22598.233142021272</v>
      </c>
      <c r="AA165" s="24" t="str">
        <f t="shared" si="63"/>
        <v>141988.886446167i</v>
      </c>
      <c r="AB165" s="24">
        <f t="shared" si="55"/>
        <v>8.870967741935484</v>
      </c>
      <c r="AD165" s="24" t="str">
        <f t="shared" si="56"/>
        <v>0.0282930463298489-0.156167183587472i</v>
      </c>
      <c r="AE165" s="24" t="str">
        <f t="shared" si="57"/>
        <v>0.996688016163051-0.0617273313861042i</v>
      </c>
      <c r="AF165" s="24" t="str">
        <f t="shared" si="71"/>
        <v>0.13117983768406-1.11248541285471i</v>
      </c>
      <c r="AG165" s="24">
        <f t="shared" si="58"/>
        <v>1.1201928153801606</v>
      </c>
      <c r="AH165" s="24">
        <f t="shared" si="72"/>
        <v>-1.4534223140243527</v>
      </c>
      <c r="AI165" s="24">
        <f t="shared" si="53"/>
        <v>-83.274964443733211</v>
      </c>
      <c r="AJ165" s="24">
        <f t="shared" si="73"/>
        <v>0.98585565783892337</v>
      </c>
      <c r="AL165" s="24" t="str">
        <f t="shared" si="74"/>
        <v>6.28949323698368E-06-0.00250787832225938i</v>
      </c>
      <c r="AM165" s="24" t="str">
        <f t="shared" si="75"/>
        <v>1.14357261246207+3.17663357926626i</v>
      </c>
      <c r="AN165" s="24" t="str">
        <f t="shared" si="76"/>
        <v>-2.6805550454885+0.957399839980803i</v>
      </c>
      <c r="AO165" s="24">
        <f t="shared" si="59"/>
        <v>2.8463994458770405</v>
      </c>
      <c r="AP165" s="24">
        <f t="shared" si="60"/>
        <v>2.7985492747486087</v>
      </c>
      <c r="AQ165" s="24">
        <f t="shared" si="61"/>
        <v>160.34506220249273</v>
      </c>
      <c r="AR165" s="24">
        <f t="shared" si="62"/>
        <v>9.0859169238711441</v>
      </c>
      <c r="AS165" s="24">
        <f t="shared" si="77"/>
        <v>10.071772581710068</v>
      </c>
      <c r="AT165" s="24">
        <f t="shared" si="78"/>
        <v>77.070097758759516</v>
      </c>
    </row>
    <row r="166" spans="4:46">
      <c r="D166" s="13"/>
      <c r="R166" s="12"/>
      <c r="S166" s="12"/>
      <c r="T166" s="12"/>
      <c r="U166" s="12"/>
      <c r="V166" s="12"/>
      <c r="W166" s="12"/>
      <c r="X166" s="12"/>
      <c r="Y166" s="24">
        <v>164</v>
      </c>
      <c r="Z166" s="24">
        <f t="shared" si="54"/>
        <v>24031.816449341983</v>
      </c>
      <c r="AA166" s="24" t="str">
        <f t="shared" si="63"/>
        <v>150996.356019342i</v>
      </c>
      <c r="AB166" s="24">
        <f t="shared" si="55"/>
        <v>8.870967741935484</v>
      </c>
      <c r="AD166" s="24" t="str">
        <f t="shared" si="56"/>
        <v>0.0254528235098316-0.147280490406033i</v>
      </c>
      <c r="AE166" s="24" t="str">
        <f t="shared" si="57"/>
        <v>0.996255812589047-0.0656191037856094i</v>
      </c>
      <c r="AF166" s="24" t="str">
        <f t="shared" si="71"/>
        <v>0.110919651712311-1.04889292318558i</v>
      </c>
      <c r="AG166" s="24">
        <f t="shared" si="58"/>
        <v>1.0547414533641746</v>
      </c>
      <c r="AH166" s="24">
        <f t="shared" si="72"/>
        <v>-1.4654386362787448</v>
      </c>
      <c r="AI166" s="24">
        <f t="shared" si="53"/>
        <v>-83.963448994179004</v>
      </c>
      <c r="AJ166" s="24">
        <f t="shared" si="73"/>
        <v>0.46292029905768328</v>
      </c>
      <c r="AL166" s="24" t="str">
        <f t="shared" si="74"/>
        <v>5.56149746788415E-06-0.00235827617925256i</v>
      </c>
      <c r="AM166" s="24" t="str">
        <f t="shared" si="75"/>
        <v>1.16232296051537+3.37725117153636i</v>
      </c>
      <c r="AN166" s="24" t="str">
        <f t="shared" si="76"/>
        <v>-2.67959772079027+0.915154817646304i</v>
      </c>
      <c r="AO166" s="24">
        <f t="shared" si="59"/>
        <v>2.8315635761051965</v>
      </c>
      <c r="AP166" s="24">
        <f t="shared" si="60"/>
        <v>2.8124860653801358</v>
      </c>
      <c r="AQ166" s="24">
        <f t="shared" si="61"/>
        <v>161.14358148563667</v>
      </c>
      <c r="AR166" s="24">
        <f t="shared" si="62"/>
        <v>9.0405263426781044</v>
      </c>
      <c r="AS166" s="24">
        <f t="shared" si="77"/>
        <v>9.5034466417357883</v>
      </c>
      <c r="AT166" s="24">
        <f t="shared" si="78"/>
        <v>77.18013249145767</v>
      </c>
    </row>
    <row r="167" spans="4:46">
      <c r="D167" s="13"/>
      <c r="R167" s="12"/>
      <c r="S167" s="12"/>
      <c r="T167" s="12"/>
      <c r="U167" s="12"/>
      <c r="V167" s="12"/>
      <c r="W167" s="12"/>
      <c r="X167" s="12"/>
      <c r="Y167" s="24">
        <v>165</v>
      </c>
      <c r="Z167" s="24">
        <f t="shared" si="54"/>
        <v>25556.343198396022</v>
      </c>
      <c r="AA167" s="24" t="str">
        <f t="shared" si="63"/>
        <v>160575.240089401i</v>
      </c>
      <c r="AB167" s="24">
        <f t="shared" si="55"/>
        <v>8.870967741935484</v>
      </c>
      <c r="AD167" s="24" t="str">
        <f t="shared" si="56"/>
        <v>0.0229274845899862-0.138853565972567i</v>
      </c>
      <c r="AE167" s="24" t="str">
        <f t="shared" si="57"/>
        <v>0.995767404716437-0.0697529047714639i</v>
      </c>
      <c r="AF167" s="24" t="str">
        <f t="shared" si="71"/>
        <v>0.0929095068760432-0.988573336175197i</v>
      </c>
      <c r="AG167" s="24">
        <f t="shared" si="58"/>
        <v>0.99292971426204613</v>
      </c>
      <c r="AH167" s="24">
        <f t="shared" si="72"/>
        <v>-1.4770881604967796</v>
      </c>
      <c r="AI167" s="24">
        <f t="shared" si="53"/>
        <v>-84.630917565207838</v>
      </c>
      <c r="AJ167" s="24">
        <f t="shared" si="73"/>
        <v>-6.1629849598694261E-2</v>
      </c>
      <c r="AL167" s="24" t="str">
        <f t="shared" si="74"/>
        <v>4.91776528148269E-06-0.00221759804677659i</v>
      </c>
      <c r="AM167" s="24" t="str">
        <f t="shared" si="75"/>
        <v>1.18351567953762+3.59041350542554i</v>
      </c>
      <c r="AN167" s="24" t="str">
        <f t="shared" si="76"/>
        <v>-2.67857542168766+0.876363892011603i</v>
      </c>
      <c r="AO167" s="24">
        <f t="shared" si="59"/>
        <v>2.818293803153062</v>
      </c>
      <c r="AP167" s="24">
        <f t="shared" si="60"/>
        <v>2.8253944708894627</v>
      </c>
      <c r="AQ167" s="24">
        <f t="shared" si="61"/>
        <v>161.88317864156457</v>
      </c>
      <c r="AR167" s="24">
        <f t="shared" si="62"/>
        <v>8.9997253144092717</v>
      </c>
      <c r="AS167" s="24">
        <f t="shared" si="77"/>
        <v>8.9380954648105782</v>
      </c>
      <c r="AT167" s="24">
        <f t="shared" si="78"/>
        <v>77.252261076356731</v>
      </c>
    </row>
    <row r="168" spans="4:46">
      <c r="D168" s="13"/>
      <c r="R168" s="12"/>
      <c r="S168" s="12"/>
      <c r="T168" s="12"/>
      <c r="U168" s="12"/>
      <c r="V168" s="12"/>
      <c r="W168" s="12"/>
      <c r="X168" s="12"/>
      <c r="Y168" s="24">
        <v>166</v>
      </c>
      <c r="Z168" s="24">
        <f t="shared" si="54"/>
        <v>27177.582645530147</v>
      </c>
      <c r="AA168" s="24" t="str">
        <f t="shared" si="63"/>
        <v>170761.787963054i</v>
      </c>
      <c r="AB168" s="24">
        <f t="shared" si="55"/>
        <v>8.870967741935484</v>
      </c>
      <c r="AD168" s="24" t="str">
        <f t="shared" si="56"/>
        <v>0.0206835218585318-0.13087032752091i</v>
      </c>
      <c r="AE168" s="24" t="str">
        <f t="shared" si="57"/>
        <v>0.995215538359838-0.0741431117076407i</v>
      </c>
      <c r="AF168" s="24" t="str">
        <f t="shared" si="71"/>
        <v>0.0769104626239414-0.931411278738838i</v>
      </c>
      <c r="AG168" s="24">
        <f t="shared" si="58"/>
        <v>0.93458129096561005</v>
      </c>
      <c r="AH168" s="24">
        <f t="shared" si="72"/>
        <v>-1.4884091238658428</v>
      </c>
      <c r="AI168" s="24">
        <f t="shared" si="53"/>
        <v>-85.279560986277374</v>
      </c>
      <c r="AJ168" s="24">
        <f t="shared" si="73"/>
        <v>-0.58765834407970652</v>
      </c>
      <c r="AL168" s="24" t="str">
        <f t="shared" si="74"/>
        <v>4.34854348157237E-06-0.002085311624612i</v>
      </c>
      <c r="AM168" s="24" t="str">
        <f t="shared" si="75"/>
        <v>1.20746712868228+3.81687973114126i</v>
      </c>
      <c r="AN168" s="24" t="str">
        <f t="shared" si="76"/>
        <v>-2.67747283964302+0.840878478348746i</v>
      </c>
      <c r="AO168" s="24">
        <f t="shared" si="59"/>
        <v>2.8064100595558306</v>
      </c>
      <c r="AP168" s="24">
        <f t="shared" si="60"/>
        <v>2.8372901449105181</v>
      </c>
      <c r="AQ168" s="24">
        <f t="shared" si="61"/>
        <v>162.56475055743445</v>
      </c>
      <c r="AR168" s="24">
        <f t="shared" si="62"/>
        <v>8.9630225682810547</v>
      </c>
      <c r="AS168" s="24">
        <f t="shared" si="77"/>
        <v>8.3753642242013484</v>
      </c>
      <c r="AT168" s="24">
        <f t="shared" si="78"/>
        <v>77.285189571157076</v>
      </c>
    </row>
    <row r="169" spans="4:46">
      <c r="D169" s="13"/>
      <c r="R169" s="12"/>
      <c r="S169" s="12"/>
      <c r="T169" s="12"/>
      <c r="U169" s="12"/>
      <c r="V169" s="12"/>
      <c r="W169" s="12"/>
      <c r="X169" s="12"/>
      <c r="Y169" s="24">
        <v>167</v>
      </c>
      <c r="Z169" s="24">
        <f t="shared" si="54"/>
        <v>28901.670036305419</v>
      </c>
      <c r="AA169" s="24" t="str">
        <f t="shared" si="63"/>
        <v>181594.548525067i</v>
      </c>
      <c r="AB169" s="24">
        <f t="shared" si="55"/>
        <v>8.870967741935484</v>
      </c>
      <c r="AD169" s="24" t="str">
        <f t="shared" si="56"/>
        <v>0.0186906905625392-0.12331387146121i</v>
      </c>
      <c r="AE169" s="24" t="str">
        <f t="shared" si="57"/>
        <v>0.994592038225559-0.078804818969449i</v>
      </c>
      <c r="AF169" s="24" t="str">
        <f t="shared" si="71"/>
        <v>0.0627069068987103-0.877285489725983i</v>
      </c>
      <c r="AG169" s="24">
        <f t="shared" si="58"/>
        <v>0.87952372717088267</v>
      </c>
      <c r="AH169" s="24">
        <f t="shared" si="72"/>
        <v>-1.4994393503431303</v>
      </c>
      <c r="AI169" s="24">
        <f t="shared" si="53"/>
        <v>-85.911546410499383</v>
      </c>
      <c r="AJ169" s="24">
        <f t="shared" si="73"/>
        <v>-1.1150487991641806</v>
      </c>
      <c r="AL169" s="24" t="str">
        <f t="shared" si="74"/>
        <v>3.84520774841029E-06-0.0019609163579275i</v>
      </c>
      <c r="AM169" s="24" t="str">
        <f t="shared" si="75"/>
        <v>1.23453415106903+4.057449807821i</v>
      </c>
      <c r="AN169" s="24" t="str">
        <f t="shared" si="76"/>
        <v>-2.67627349979932+0.808562133749425i</v>
      </c>
      <c r="AO169" s="24">
        <f t="shared" si="59"/>
        <v>2.7957490176805075</v>
      </c>
      <c r="AP169" s="24">
        <f t="shared" si="60"/>
        <v>2.8481898557423331</v>
      </c>
      <c r="AQ169" s="24">
        <f t="shared" si="61"/>
        <v>163.18925798601046</v>
      </c>
      <c r="AR169" s="24">
        <f t="shared" si="62"/>
        <v>8.9299636195208407</v>
      </c>
      <c r="AS169" s="24">
        <f t="shared" si="77"/>
        <v>7.8149148203566599</v>
      </c>
      <c r="AT169" s="24">
        <f t="shared" si="78"/>
        <v>77.277711575511077</v>
      </c>
    </row>
    <row r="170" spans="4:46">
      <c r="D170" s="13"/>
      <c r="R170" s="12"/>
      <c r="S170" s="12"/>
      <c r="T170" s="12"/>
      <c r="U170" s="12"/>
      <c r="V170" s="12"/>
      <c r="W170" s="12"/>
      <c r="X170" s="12"/>
      <c r="Y170" s="24">
        <v>168</v>
      </c>
      <c r="Z170" s="24">
        <f t="shared" si="54"/>
        <v>30735.129823066054</v>
      </c>
      <c r="AA170" s="24" t="str">
        <f t="shared" si="63"/>
        <v>193114.516118546i</v>
      </c>
      <c r="AB170" s="24">
        <f t="shared" si="55"/>
        <v>8.870967741935484</v>
      </c>
      <c r="AD170" s="24" t="str">
        <f t="shared" si="56"/>
        <v>0.0169217577810875-0.116166788898083i</v>
      </c>
      <c r="AE170" s="24" t="str">
        <f t="shared" si="57"/>
        <v>0.993887695165727-0.0837538449015639i</v>
      </c>
      <c r="AF170" s="24" t="str">
        <f t="shared" si="71"/>
        <v>0.0501047675514342-0.826071072030375i</v>
      </c>
      <c r="AG170" s="24">
        <f t="shared" si="58"/>
        <v>0.82758921197463431</v>
      </c>
      <c r="AH170" s="24">
        <f t="shared" si="72"/>
        <v>-1.5102162383555642</v>
      </c>
      <c r="AI170" s="24">
        <f t="shared" si="53"/>
        <v>-86.529016609896985</v>
      </c>
      <c r="AJ170" s="24">
        <f t="shared" si="73"/>
        <v>-1.6437035841575633</v>
      </c>
      <c r="AL170" s="24" t="str">
        <f t="shared" si="74"/>
        <v>0.0000034001319820474-0.00184394154493842i</v>
      </c>
      <c r="AM170" s="24" t="str">
        <f t="shared" si="75"/>
        <v>1.26511911719773+4.31296563124915i</v>
      </c>
      <c r="AN170" s="24" t="str">
        <f t="shared" si="76"/>
        <v>-2.67495952521083+0.77928996903063i</v>
      </c>
      <c r="AO170" s="24">
        <f t="shared" si="59"/>
        <v>2.7861624714556594</v>
      </c>
      <c r="AP170" s="24">
        <f t="shared" si="60"/>
        <v>2.8581109083633569</v>
      </c>
      <c r="AQ170" s="24">
        <f t="shared" si="61"/>
        <v>163.75769242952234</v>
      </c>
      <c r="AR170" s="24">
        <f t="shared" si="62"/>
        <v>8.9001287629311747</v>
      </c>
      <c r="AS170" s="24">
        <f t="shared" si="77"/>
        <v>7.2564251787736112</v>
      </c>
      <c r="AT170" s="24">
        <f t="shared" si="78"/>
        <v>77.228675819625352</v>
      </c>
    </row>
    <row r="171" spans="4:46">
      <c r="D171" s="13"/>
      <c r="R171" s="12"/>
      <c r="S171" s="12"/>
      <c r="T171" s="12"/>
      <c r="U171" s="12"/>
      <c r="V171" s="12"/>
      <c r="W171" s="12"/>
      <c r="X171" s="12"/>
      <c r="Y171" s="24">
        <v>169</v>
      </c>
      <c r="Z171" s="24">
        <f t="shared" si="54"/>
        <v>32684.900355380338</v>
      </c>
      <c r="AA171" s="24" t="str">
        <f t="shared" si="63"/>
        <v>205365.285679555i</v>
      </c>
      <c r="AB171" s="24">
        <f t="shared" si="55"/>
        <v>8.870967741935484</v>
      </c>
      <c r="AD171" s="24" t="str">
        <f t="shared" si="56"/>
        <v>0.015352255052174-0.109411425804664i</v>
      </c>
      <c r="AE171" s="24" t="str">
        <f t="shared" si="57"/>
        <v>0.993092140807564-0.0890067317644627i</v>
      </c>
      <c r="AF171" s="24" t="str">
        <f t="shared" si="71"/>
        <v>0.0389297510252368-0.777641349852272i</v>
      </c>
      <c r="AG171" s="24">
        <f t="shared" si="58"/>
        <v>0.7786151774239638</v>
      </c>
      <c r="AH171" s="24">
        <f t="shared" si="72"/>
        <v>-1.5207767660184521</v>
      </c>
      <c r="AI171" s="24">
        <f t="shared" si="53"/>
        <v>-87.134090274411619</v>
      </c>
      <c r="AJ171" s="24">
        <f t="shared" si="73"/>
        <v>-2.1735426980177253</v>
      </c>
      <c r="AL171" s="24" t="str">
        <f t="shared" si="74"/>
        <v>3.00657276698236E-06-0.00173394455721703i</v>
      </c>
      <c r="AM171" s="24" t="str">
        <f t="shared" si="75"/>
        <v>1.2996755583779+4.58431194710025i</v>
      </c>
      <c r="AN171" s="24" t="str">
        <f t="shared" si="76"/>
        <v>-2.67351138363208+0.752948090034923i</v>
      </c>
      <c r="AO171" s="24">
        <f t="shared" si="59"/>
        <v>2.7775157865793596</v>
      </c>
      <c r="AP171" s="24">
        <f t="shared" si="60"/>
        <v>2.8670706392933827</v>
      </c>
      <c r="AQ171" s="24">
        <f t="shared" si="61"/>
        <v>164.27104719738563</v>
      </c>
      <c r="AR171" s="24">
        <f t="shared" si="62"/>
        <v>8.8731307204296268</v>
      </c>
      <c r="AS171" s="24">
        <f t="shared" si="77"/>
        <v>6.699588022411902</v>
      </c>
      <c r="AT171" s="24">
        <f t="shared" si="78"/>
        <v>77.136956922974008</v>
      </c>
    </row>
    <row r="172" spans="4:46">
      <c r="D172" s="13"/>
      <c r="R172" s="12"/>
      <c r="S172" s="12"/>
      <c r="T172" s="12"/>
      <c r="U172" s="12"/>
      <c r="V172" s="12"/>
      <c r="W172" s="12"/>
      <c r="X172" s="12"/>
      <c r="Y172" s="24">
        <v>170</v>
      </c>
      <c r="Z172" s="24">
        <f t="shared" si="54"/>
        <v>34758.360136790499</v>
      </c>
      <c r="AA172" s="24" t="str">
        <f t="shared" si="63"/>
        <v>218393.217713139i</v>
      </c>
      <c r="AB172" s="24">
        <f t="shared" si="55"/>
        <v>8.870967741935484</v>
      </c>
      <c r="AD172" s="24" t="str">
        <f t="shared" si="56"/>
        <v>0.0139602391655938-0.103030095239848i</v>
      </c>
      <c r="AE172" s="24" t="str">
        <f t="shared" si="57"/>
        <v>0.992193708478543-0.0945807368388505i</v>
      </c>
      <c r="AF172" s="24" t="str">
        <f t="shared" si="71"/>
        <v>0.0290256398474603-0.731869383917844i</v>
      </c>
      <c r="AG172" s="24">
        <f t="shared" si="58"/>
        <v>0.73244473025945034</v>
      </c>
      <c r="AH172" s="24">
        <f t="shared" si="72"/>
        <v>-1.5311575102914716</v>
      </c>
      <c r="AI172" s="24">
        <f t="shared" si="53"/>
        <v>-87.728863109460235</v>
      </c>
      <c r="AJ172" s="24">
        <f t="shared" si="73"/>
        <v>-2.7045028255917747</v>
      </c>
      <c r="AL172" s="24" t="str">
        <f t="shared" si="74"/>
        <v>2.65856720830381E-06-0.00163050916597369i</v>
      </c>
      <c r="AM172" s="24" t="str">
        <f t="shared" si="75"/>
        <v>1.33871444837362+4.87241698170772i</v>
      </c>
      <c r="AN172" s="24" t="str">
        <f t="shared" si="76"/>
        <v>-2.67190761406327+0.729433063505813i</v>
      </c>
      <c r="AO172" s="24">
        <f t="shared" si="59"/>
        <v>2.7696864248908666</v>
      </c>
      <c r="AP172" s="24">
        <f t="shared" si="60"/>
        <v>2.8750859800316477</v>
      </c>
      <c r="AQ172" s="24">
        <f t="shared" si="61"/>
        <v>164.73029239304751</v>
      </c>
      <c r="AR172" s="24">
        <f t="shared" si="62"/>
        <v>8.8486120480873485</v>
      </c>
      <c r="AS172" s="24">
        <f t="shared" si="77"/>
        <v>6.1441092224955742</v>
      </c>
      <c r="AT172" s="24">
        <f t="shared" si="78"/>
        <v>77.001429283587271</v>
      </c>
    </row>
    <row r="173" spans="4:46">
      <c r="D173" s="13"/>
      <c r="R173" s="12"/>
      <c r="S173" s="12"/>
      <c r="T173" s="12"/>
      <c r="U173" s="12"/>
      <c r="V173" s="12"/>
      <c r="W173" s="12"/>
      <c r="X173" s="12"/>
      <c r="Y173" s="24">
        <v>171</v>
      </c>
      <c r="Z173" s="24">
        <f t="shared" si="54"/>
        <v>36963.355747234389</v>
      </c>
      <c r="AA173" s="24" t="str">
        <f t="shared" si="63"/>
        <v>232247.613735075i</v>
      </c>
      <c r="AB173" s="24">
        <f t="shared" si="55"/>
        <v>8.870967741935484</v>
      </c>
      <c r="AD173" s="24" t="str">
        <f t="shared" si="56"/>
        <v>0.0127260641623003-0.0970052483629031i</v>
      </c>
      <c r="AE173" s="24" t="str">
        <f t="shared" si="57"/>
        <v>0.99117927935723-0.100493812504097i</v>
      </c>
      <c r="AF173" s="24" t="str">
        <f t="shared" si="71"/>
        <v>0.0202526706767883-0.688629192953957i</v>
      </c>
      <c r="AG173" s="24">
        <f t="shared" si="58"/>
        <v>0.688926945370814</v>
      </c>
      <c r="AH173" s="24">
        <f t="shared" si="72"/>
        <v>-1.541394676831241</v>
      </c>
      <c r="AI173" s="24">
        <f t="shared" si="53"/>
        <v>-88.315409546361565</v>
      </c>
      <c r="AJ173" s="24">
        <f t="shared" si="73"/>
        <v>-3.2365365750396351</v>
      </c>
      <c r="AL173" s="24" t="str">
        <f t="shared" si="74"/>
        <v>2.35084259193096E-06-0.00153324396802012i</v>
      </c>
      <c r="AM173" s="24" t="str">
        <f t="shared" si="75"/>
        <v>1.38281119400981+5.17825270827116i</v>
      </c>
      <c r="AN173" s="24" t="str">
        <f t="shared" si="76"/>
        <v>-2.67012453022159+0.708651402312854i</v>
      </c>
      <c r="AO173" s="24">
        <f t="shared" si="59"/>
        <v>2.7625625453355878</v>
      </c>
      <c r="AP173" s="24">
        <f t="shared" si="60"/>
        <v>2.8821730837982527</v>
      </c>
      <c r="AQ173" s="24">
        <f t="shared" si="61"/>
        <v>165.13635352784522</v>
      </c>
      <c r="AR173" s="24">
        <f t="shared" si="62"/>
        <v>8.8262423875221394</v>
      </c>
      <c r="AS173" s="24">
        <f t="shared" si="77"/>
        <v>5.5897058124825048</v>
      </c>
      <c r="AT173" s="24">
        <f t="shared" si="78"/>
        <v>76.820943981483651</v>
      </c>
    </row>
    <row r="174" spans="4:46">
      <c r="D174" s="13"/>
      <c r="R174" s="12"/>
      <c r="S174" s="12"/>
      <c r="T174" s="12"/>
      <c r="U174" s="12"/>
      <c r="V174" s="12"/>
      <c r="W174" s="12"/>
      <c r="X174" s="12"/>
      <c r="Y174" s="24">
        <v>172</v>
      </c>
      <c r="Z174" s="24">
        <f t="shared" si="54"/>
        <v>39308.231536804677</v>
      </c>
      <c r="AA174" s="24" t="str">
        <f t="shared" si="63"/>
        <v>246980.902843264i</v>
      </c>
      <c r="AB174" s="24">
        <f t="shared" si="55"/>
        <v>8.870967741935484</v>
      </c>
      <c r="AD174" s="24" t="str">
        <f t="shared" si="56"/>
        <v>0.0116321664996006-0.0913196103225389i</v>
      </c>
      <c r="AE174" s="24" t="str">
        <f t="shared" si="57"/>
        <v>0.990034112827824-0.10676457269742i</v>
      </c>
      <c r="AF174" s="24" t="str">
        <f t="shared" si="71"/>
        <v>0.0124860069317002-0.647796724897913i</v>
      </c>
      <c r="AG174" s="24">
        <f t="shared" si="58"/>
        <v>0.64791704496606717</v>
      </c>
      <c r="AH174" s="24">
        <f t="shared" si="72"/>
        <v>-1.5515241375818003</v>
      </c>
      <c r="AI174" s="24">
        <f t="shared" si="53"/>
        <v>-88.895784896112033</v>
      </c>
      <c r="AJ174" s="24">
        <f t="shared" si="73"/>
        <v>-3.769611895542119</v>
      </c>
      <c r="AL174" s="24" t="str">
        <f t="shared" si="74"/>
        <v>2.07873650059699E-06-0.00144178090549554i</v>
      </c>
      <c r="AM174" s="24" t="str">
        <f t="shared" si="75"/>
        <v>1.432613397053+5.50283464988677i</v>
      </c>
      <c r="AN174" s="24" t="str">
        <f t="shared" si="76"/>
        <v>-2.66813589810719+0.690519064294413i</v>
      </c>
      <c r="AO174" s="24">
        <f t="shared" si="59"/>
        <v>2.7560416812744855</v>
      </c>
      <c r="AP174" s="24">
        <f t="shared" si="60"/>
        <v>2.8883470098218615</v>
      </c>
      <c r="AQ174" s="24">
        <f t="shared" si="61"/>
        <v>165.490093432024</v>
      </c>
      <c r="AR174" s="24">
        <f t="shared" si="62"/>
        <v>8.8057156276335604</v>
      </c>
      <c r="AS174" s="24">
        <f t="shared" si="77"/>
        <v>5.0361037320914415</v>
      </c>
      <c r="AT174" s="24">
        <f t="shared" si="78"/>
        <v>76.594308535911964</v>
      </c>
    </row>
    <row r="175" spans="4:46">
      <c r="D175" s="13"/>
      <c r="R175" s="12"/>
      <c r="S175" s="12"/>
      <c r="T175" s="12"/>
      <c r="U175" s="12"/>
      <c r="V175" s="12"/>
      <c r="W175" s="12"/>
      <c r="X175" s="12"/>
      <c r="Y175" s="24">
        <v>173</v>
      </c>
      <c r="Z175" s="24">
        <f t="shared" si="54"/>
        <v>41801.861203217486</v>
      </c>
      <c r="AA175" s="24" t="str">
        <f t="shared" si="63"/>
        <v>262648.840124816i</v>
      </c>
      <c r="AB175" s="24">
        <f t="shared" si="55"/>
        <v>8.870967741935484</v>
      </c>
      <c r="AD175" s="24" t="str">
        <f t="shared" si="56"/>
        <v>0.0106628645041604-0.0859562864174044i</v>
      </c>
      <c r="AE175" s="24" t="str">
        <f t="shared" si="57"/>
        <v>0.988741660117475-0.113412242690136i</v>
      </c>
      <c r="AF175" s="24" t="str">
        <f t="shared" si="71"/>
        <v>0.00561431404498362-0.609250616483786i</v>
      </c>
      <c r="AG175" s="24">
        <f t="shared" si="58"/>
        <v>0.60927648420734981</v>
      </c>
      <c r="AH175" s="24">
        <f t="shared" si="72"/>
        <v>-1.5615814733638258</v>
      </c>
      <c r="AI175" s="24">
        <f t="shared" si="53"/>
        <v>-89.472027789567989</v>
      </c>
      <c r="AJ175" s="24">
        <f t="shared" si="73"/>
        <v>-4.3037116738825363</v>
      </c>
      <c r="AL175" s="24" t="str">
        <f t="shared" si="74"/>
        <v>1.83812617554565E-06-0.00135577387378494i</v>
      </c>
      <c r="AM175" s="24" t="str">
        <f t="shared" si="75"/>
        <v>1.48884944981843+5.8472211014949i</v>
      </c>
      <c r="AN175" s="24" t="str">
        <f t="shared" si="76"/>
        <v>-2.66591258488034+0.674960958367072i</v>
      </c>
      <c r="AO175" s="24">
        <f t="shared" si="59"/>
        <v>2.7500294917588017</v>
      </c>
      <c r="AP175" s="24">
        <f t="shared" si="60"/>
        <v>2.8936214593311238</v>
      </c>
      <c r="AQ175" s="24">
        <f t="shared" si="61"/>
        <v>165.79229712815959</v>
      </c>
      <c r="AR175" s="24">
        <f t="shared" si="62"/>
        <v>8.7867470259829297</v>
      </c>
      <c r="AS175" s="24">
        <f t="shared" si="77"/>
        <v>4.4830353521003934</v>
      </c>
      <c r="AT175" s="24">
        <f t="shared" si="78"/>
        <v>76.320269338591601</v>
      </c>
    </row>
    <row r="176" spans="4:46">
      <c r="D176" s="13"/>
      <c r="R176" s="12"/>
      <c r="S176" s="12"/>
      <c r="T176" s="12"/>
      <c r="U176" s="12"/>
      <c r="V176" s="12"/>
      <c r="W176" s="12"/>
      <c r="X176" s="12"/>
      <c r="Y176" s="24">
        <v>174</v>
      </c>
      <c r="Z176" s="24">
        <f t="shared" si="54"/>
        <v>44453.681372487059</v>
      </c>
      <c r="AA176" s="24" t="str">
        <f t="shared" si="63"/>
        <v>279310.717649654i</v>
      </c>
      <c r="AB176" s="24">
        <f t="shared" si="55"/>
        <v>8.870967741935484</v>
      </c>
      <c r="AD176" s="24" t="str">
        <f t="shared" si="56"/>
        <v>0.00980417259852537-0.0808988432692622i</v>
      </c>
      <c r="AE176" s="24" t="str">
        <f t="shared" si="57"/>
        <v>0.987283360466991-0.120456588581231i</v>
      </c>
      <c r="AF176" s="24" t="str">
        <f t="shared" si="71"/>
        <v>-0.000461559159451397-0.572872775185587i</v>
      </c>
      <c r="AG176" s="24">
        <f t="shared" si="58"/>
        <v>0.57287296112287744</v>
      </c>
      <c r="AH176" s="24">
        <f t="shared" si="72"/>
        <v>-1.5716020188779767</v>
      </c>
      <c r="AI176" s="24">
        <f t="shared" si="53"/>
        <v>-90.046162755947606</v>
      </c>
      <c r="AJ176" s="24">
        <f t="shared" si="73"/>
        <v>-4.8388335083067631</v>
      </c>
      <c r="AL176" s="24" t="str">
        <f t="shared" si="74"/>
        <v>1.62536605392635E-06-0.00127489741238718i</v>
      </c>
      <c r="AM176" s="24" t="str">
        <f t="shared" si="75"/>
        <v>1.55233802508634+6.21251163045613i</v>
      </c>
      <c r="AN176" s="24" t="str">
        <f t="shared" si="76"/>
        <v>-2.66342217638423+0.66191045080725i</v>
      </c>
      <c r="AO176" s="24">
        <f t="shared" si="59"/>
        <v>2.7444385827602642</v>
      </c>
      <c r="AP176" s="24">
        <f t="shared" si="60"/>
        <v>2.8980085576181644</v>
      </c>
      <c r="AQ176" s="24">
        <f t="shared" si="61"/>
        <v>166.04365934431607</v>
      </c>
      <c r="AR176" s="24">
        <f t="shared" si="62"/>
        <v>8.7690703247482613</v>
      </c>
      <c r="AS176" s="24">
        <f t="shared" si="77"/>
        <v>3.9302368164414982</v>
      </c>
      <c r="AT176" s="24">
        <f t="shared" si="78"/>
        <v>75.997496588368463</v>
      </c>
    </row>
    <row r="177" spans="4:46">
      <c r="D177" s="13"/>
      <c r="R177" s="12"/>
      <c r="S177" s="12"/>
      <c r="T177" s="12"/>
      <c r="U177" s="12"/>
      <c r="V177" s="12"/>
      <c r="W177" s="12"/>
      <c r="X177" s="12"/>
      <c r="Y177" s="24">
        <v>175</v>
      </c>
      <c r="Z177" s="24">
        <f t="shared" si="54"/>
        <v>47273.727309885995</v>
      </c>
      <c r="AA177" s="24" t="str">
        <f t="shared" si="63"/>
        <v>297029.58884909i</v>
      </c>
      <c r="AB177" s="24">
        <f t="shared" si="55"/>
        <v>8.870967741935484</v>
      </c>
      <c r="AD177" s="24" t="str">
        <f t="shared" si="56"/>
        <v>0.0090436303139911-0.0761313691359755i</v>
      </c>
      <c r="AE177" s="24" t="str">
        <f t="shared" si="57"/>
        <v>0.985638419349197-0.127917822303798i</v>
      </c>
      <c r="AF177" s="24" t="str">
        <f t="shared" si="71"/>
        <v>-0.0058297928566621-0.53854881313571i</v>
      </c>
      <c r="AG177" s="24">
        <f t="shared" si="58"/>
        <v>0.53858036597580639</v>
      </c>
      <c r="AH177" s="24">
        <f t="shared" si="72"/>
        <v>-1.5816209076265799</v>
      </c>
      <c r="AI177" s="24">
        <f t="shared" si="53"/>
        <v>-90.620202796653672</v>
      </c>
      <c r="AJ177" s="24">
        <f t="shared" si="73"/>
        <v>-5.3749896580664211</v>
      </c>
      <c r="AL177" s="24" t="str">
        <f t="shared" si="74"/>
        <v>1.43723253568965E-06-0.00119884547380064i</v>
      </c>
      <c r="AM177" s="24" t="str">
        <f t="shared" si="75"/>
        <v>1.62399851629469+6.59984468967605i</v>
      </c>
      <c r="AN177" s="24" t="str">
        <f t="shared" si="76"/>
        <v>-2.66062856086535+0.651308863731179i</v>
      </c>
      <c r="AO177" s="24">
        <f t="shared" si="59"/>
        <v>2.7391873931637507</v>
      </c>
      <c r="AP177" s="24">
        <f t="shared" si="60"/>
        <v>2.9015186769660071</v>
      </c>
      <c r="AQ177" s="24">
        <f t="shared" si="61"/>
        <v>166.24477436853468</v>
      </c>
      <c r="AR177" s="24">
        <f t="shared" si="62"/>
        <v>8.7524348840940984</v>
      </c>
      <c r="AS177" s="24">
        <f t="shared" si="77"/>
        <v>3.3774452260276773</v>
      </c>
      <c r="AT177" s="24">
        <f t="shared" si="78"/>
        <v>75.624571571881006</v>
      </c>
    </row>
    <row r="178" spans="4:46">
      <c r="D178" s="13"/>
      <c r="R178" s="12"/>
      <c r="S178" s="12"/>
      <c r="T178" s="12"/>
      <c r="U178" s="12"/>
      <c r="V178" s="12"/>
      <c r="W178" s="12"/>
      <c r="X178" s="12"/>
      <c r="Y178" s="24">
        <v>176</v>
      </c>
      <c r="Z178" s="24">
        <f t="shared" si="54"/>
        <v>50272.670896332245</v>
      </c>
      <c r="AA178" s="24" t="str">
        <f t="shared" si="63"/>
        <v>315872.50712851i</v>
      </c>
      <c r="AB178" s="24">
        <f t="shared" si="55"/>
        <v>8.870967741935484</v>
      </c>
      <c r="AD178" s="24" t="str">
        <f t="shared" si="56"/>
        <v>0.0083701457606451-0.0716385169284541i</v>
      </c>
      <c r="AE178" s="24" t="str">
        <f t="shared" si="57"/>
        <v>0.983783568631471-0.135816477266268i</v>
      </c>
      <c r="AF178" s="24" t="str">
        <f t="shared" si="71"/>
        <v>-0.0105687047224011-0.506168358642859i</v>
      </c>
      <c r="AG178" s="24">
        <f t="shared" si="58"/>
        <v>0.50627868295111467</v>
      </c>
      <c r="AH178" s="24">
        <f t="shared" si="72"/>
        <v>-1.5916731142807752</v>
      </c>
      <c r="AI178" s="24">
        <f t="shared" si="53"/>
        <v>-91.196151812732381</v>
      </c>
      <c r="AJ178" s="24">
        <f t="shared" si="73"/>
        <v>-5.9122071671200551</v>
      </c>
      <c r="AL178" s="24" t="str">
        <f t="shared" si="74"/>
        <v>1.27087514327821E-06-0.00112733026578487i</v>
      </c>
      <c r="AM178" s="24" t="str">
        <f t="shared" si="75"/>
        <v>1.70486247568384+7.01039414772035i</v>
      </c>
      <c r="AN178" s="24" t="str">
        <f t="shared" si="76"/>
        <v>-2.65749147679488+0.643104956772848i</v>
      </c>
      <c r="AO178" s="24">
        <f t="shared" si="59"/>
        <v>2.7341991395403586</v>
      </c>
      <c r="AP178" s="24">
        <f t="shared" si="60"/>
        <v>2.9041602958018577</v>
      </c>
      <c r="AQ178" s="24">
        <f t="shared" si="61"/>
        <v>166.39612797891118</v>
      </c>
      <c r="AR178" s="24">
        <f t="shared" si="62"/>
        <v>8.7366028458500242</v>
      </c>
      <c r="AS178" s="24">
        <f t="shared" si="77"/>
        <v>2.8243956787299691</v>
      </c>
      <c r="AT178" s="24">
        <f t="shared" si="78"/>
        <v>75.1999761661788</v>
      </c>
    </row>
    <row r="179" spans="4:46">
      <c r="D179" s="13"/>
      <c r="R179" s="12"/>
      <c r="S179" s="12"/>
      <c r="T179" s="12"/>
      <c r="U179" s="12"/>
      <c r="V179" s="12"/>
      <c r="W179" s="12"/>
      <c r="X179" s="12"/>
      <c r="Y179" s="24">
        <v>177</v>
      </c>
      <c r="Z179" s="24">
        <f t="shared" si="54"/>
        <v>53461.861013916772</v>
      </c>
      <c r="AA179" s="24" t="str">
        <f t="shared" si="63"/>
        <v>335910.779617119i</v>
      </c>
      <c r="AB179" s="24">
        <f t="shared" si="55"/>
        <v>8.870967741935484</v>
      </c>
      <c r="AD179" s="24" t="str">
        <f t="shared" si="56"/>
        <v>0.0077738529868141-0.0674055329882542i</v>
      </c>
      <c r="AE179" s="24" t="str">
        <f t="shared" si="57"/>
        <v>0.981692809112042-0.144173249011397i</v>
      </c>
      <c r="AF179" s="24" t="str">
        <f t="shared" si="71"/>
        <v>-0.0147477586140092-0.475625267338255i</v>
      </c>
      <c r="AG179" s="24">
        <f t="shared" si="58"/>
        <v>0.47585385499617799</v>
      </c>
      <c r="AH179" s="24">
        <f t="shared" si="72"/>
        <v>-1.6017934919775518</v>
      </c>
      <c r="AI179" s="24">
        <f t="shared" si="53"/>
        <v>-91.776006741836014</v>
      </c>
      <c r="AJ179" s="24">
        <f t="shared" si="73"/>
        <v>-6.4505281604733131</v>
      </c>
      <c r="AL179" s="24" t="str">
        <f t="shared" si="74"/>
        <v>1.12377333423445E-06-0.00106008116263235i</v>
      </c>
      <c r="AM179" s="24" t="str">
        <f t="shared" si="75"/>
        <v>1.79608608494125+7.4453645069895i</v>
      </c>
      <c r="AN179" s="24" t="str">
        <f t="shared" si="76"/>
        <v>-2.65396602322853+0.637254381779745i</v>
      </c>
      <c r="AO179" s="24">
        <f t="shared" si="59"/>
        <v>2.7294008132828242</v>
      </c>
      <c r="AP179" s="24">
        <f t="shared" si="60"/>
        <v>2.9059398901046065</v>
      </c>
      <c r="AQ179" s="24">
        <f t="shared" si="61"/>
        <v>166.49809122170421</v>
      </c>
      <c r="AR179" s="24">
        <f t="shared" si="62"/>
        <v>8.7213463324172835</v>
      </c>
      <c r="AS179" s="24">
        <f t="shared" si="77"/>
        <v>2.2708181719439704</v>
      </c>
      <c r="AT179" s="24">
        <f t="shared" si="78"/>
        <v>74.722084479868201</v>
      </c>
    </row>
    <row r="180" spans="4:46">
      <c r="D180" s="13"/>
      <c r="R180" s="12"/>
      <c r="S180" s="12"/>
      <c r="T180" s="12"/>
      <c r="U180" s="12"/>
      <c r="V180" s="12"/>
      <c r="W180" s="12"/>
      <c r="X180" s="12"/>
      <c r="Y180" s="24">
        <v>178</v>
      </c>
      <c r="Z180" s="24">
        <f t="shared" si="54"/>
        <v>56853.366493401947</v>
      </c>
      <c r="AA180" s="24" t="str">
        <f t="shared" si="63"/>
        <v>357220.237015039i</v>
      </c>
      <c r="AB180" s="24">
        <f t="shared" si="55"/>
        <v>8.870967741935484</v>
      </c>
      <c r="AD180" s="24" t="str">
        <f t="shared" si="56"/>
        <v>0.00724598250213357-0.0634182742310592i</v>
      </c>
      <c r="AE180" s="24" t="str">
        <f t="shared" si="57"/>
        <v>0.979337136581714-0.153008794481434i</v>
      </c>
      <c r="AF180" s="24" t="str">
        <f t="shared" si="71"/>
        <v>-0.0184284786525317-0.446817751785327i</v>
      </c>
      <c r="AG180" s="24">
        <f t="shared" si="58"/>
        <v>0.44719762089700443</v>
      </c>
      <c r="AH180" s="24">
        <f t="shared" si="72"/>
        <v>-1.6120168019238768</v>
      </c>
      <c r="AI180" s="24">
        <f t="shared" si="53"/>
        <v>-92.361759254414537</v>
      </c>
      <c r="AJ180" s="24">
        <f t="shared" si="73"/>
        <v>-6.9900103114689438</v>
      </c>
      <c r="AL180" s="24" t="str">
        <f t="shared" si="74"/>
        <v>9.93698312468569E-07-0.000996843681342382i</v>
      </c>
      <c r="AM180" s="24" t="str">
        <f t="shared" si="75"/>
        <v>1.89896367350629+7.90598454368239i</v>
      </c>
      <c r="AN180" s="24" t="str">
        <f t="shared" si="76"/>
        <v>-2.65000213190848+0.633719099009303i</v>
      </c>
      <c r="AO180" s="24">
        <f t="shared" si="59"/>
        <v>2.7247222235612663</v>
      </c>
      <c r="AP180" s="24">
        <f t="shared" si="60"/>
        <v>2.9068618538214381</v>
      </c>
      <c r="AQ180" s="24">
        <f t="shared" si="61"/>
        <v>166.55091585154287</v>
      </c>
      <c r="AR180" s="24">
        <f t="shared" si="62"/>
        <v>8.706444679602976</v>
      </c>
      <c r="AS180" s="24">
        <f t="shared" si="77"/>
        <v>1.7164343681340322</v>
      </c>
      <c r="AT180" s="24">
        <f t="shared" si="78"/>
        <v>74.189156597128331</v>
      </c>
    </row>
    <row r="181" spans="4:46">
      <c r="D181" s="13"/>
      <c r="R181" s="12"/>
      <c r="S181" s="12"/>
      <c r="T181" s="12"/>
      <c r="U181" s="12"/>
      <c r="V181" s="12"/>
      <c r="W181" s="12"/>
      <c r="X181" s="12"/>
      <c r="Y181" s="24">
        <v>179</v>
      </c>
      <c r="Z181" s="24">
        <f t="shared" si="54"/>
        <v>60460.02178621637</v>
      </c>
      <c r="AA181" s="24" t="str">
        <f t="shared" si="63"/>
        <v>379881.520558912i</v>
      </c>
      <c r="AB181" s="24">
        <f t="shared" si="55"/>
        <v>8.870967741935484</v>
      </c>
      <c r="AD181" s="24" t="str">
        <f t="shared" si="56"/>
        <v>0.00677874414232097-0.059663215864003i</v>
      </c>
      <c r="AE181" s="24" t="str">
        <f t="shared" si="57"/>
        <v>0.976684253518319-0.162343482645619i</v>
      </c>
      <c r="AF181" s="24" t="str">
        <f t="shared" si="71"/>
        <v>-0.0216652746494576-0.419648445582807i</v>
      </c>
      <c r="AG181" s="24">
        <f t="shared" si="58"/>
        <v>0.42020733216556627</v>
      </c>
      <c r="AH181" s="24">
        <f t="shared" si="72"/>
        <v>-1.6223777325149384</v>
      </c>
      <c r="AI181" s="24">
        <f t="shared" si="53"/>
        <v>-92.955396849110372</v>
      </c>
      <c r="AJ181" s="24">
        <f t="shared" si="73"/>
        <v>-7.5307274778557645</v>
      </c>
      <c r="AL181" s="24" t="str">
        <f t="shared" si="74"/>
        <v>8.78679259646884E-07-0.00093737851883305i</v>
      </c>
      <c r="AM181" s="24" t="str">
        <f t="shared" si="75"/>
        <v>2.01494227231375+8.39349906209535i</v>
      </c>
      <c r="AN181" s="24" t="str">
        <f t="shared" si="76"/>
        <v>-2.6455440013803+0.632466741820821i</v>
      </c>
      <c r="AO181" s="24">
        <f t="shared" si="59"/>
        <v>2.7200950797258421</v>
      </c>
      <c r="AP181" s="24">
        <f t="shared" si="60"/>
        <v>2.9069284458101272</v>
      </c>
      <c r="AQ181" s="24">
        <f t="shared" si="61"/>
        <v>166.55473129144411</v>
      </c>
      <c r="AR181" s="24">
        <f t="shared" si="62"/>
        <v>8.6916816974382627</v>
      </c>
      <c r="AS181" s="24">
        <f t="shared" si="77"/>
        <v>1.1609542195824982</v>
      </c>
      <c r="AT181" s="24">
        <f t="shared" si="78"/>
        <v>73.599334442333742</v>
      </c>
    </row>
    <row r="182" spans="4:46">
      <c r="D182" s="13"/>
      <c r="R182" s="12"/>
      <c r="S182" s="12"/>
      <c r="T182" s="12"/>
      <c r="U182" s="12"/>
      <c r="V182" s="12"/>
      <c r="W182" s="12"/>
      <c r="X182" s="12"/>
      <c r="Y182" s="24">
        <v>180</v>
      </c>
      <c r="Z182" s="24">
        <f t="shared" si="54"/>
        <v>64295.47553378361</v>
      </c>
      <c r="AA182" s="24" t="str">
        <f t="shared" si="63"/>
        <v>403980.387191994i</v>
      </c>
      <c r="AB182" s="24">
        <f t="shared" si="55"/>
        <v>8.870967741935484</v>
      </c>
      <c r="AD182" s="24" t="str">
        <f t="shared" si="56"/>
        <v>0.0063652214043529-0.0561274515383375i</v>
      </c>
      <c r="AE182" s="24" t="str">
        <f t="shared" si="57"/>
        <v>0.973698269761443-0.172197088405906i</v>
      </c>
      <c r="AF182" s="24" t="str">
        <f t="shared" si="71"/>
        <v>-0.0245061852195696-0.394024415548903i</v>
      </c>
      <c r="AG182" s="24">
        <f t="shared" si="58"/>
        <v>0.39478575602808985</v>
      </c>
      <c r="AH182" s="24">
        <f t="shared" si="72"/>
        <v>-1.6329109049433634</v>
      </c>
      <c r="AI182" s="24">
        <f t="shared" si="53"/>
        <v>-93.558903174142685</v>
      </c>
      <c r="AJ182" s="24">
        <f t="shared" si="73"/>
        <v>-8.0727705035331869</v>
      </c>
      <c r="AL182" s="24" t="str">
        <f t="shared" si="74"/>
        <v>7.76973475115093E-07-0.000881460646556221i</v>
      </c>
      <c r="AM182" s="24" t="str">
        <f t="shared" si="75"/>
        <v>2.14563715330882+8.90915841120777i</v>
      </c>
      <c r="AN182" s="24" t="str">
        <f t="shared" si="76"/>
        <v>-2.64052949484705+0.633469915234482i</v>
      </c>
      <c r="AO182" s="24">
        <f t="shared" si="59"/>
        <v>2.715452107230838</v>
      </c>
      <c r="AP182" s="24">
        <f t="shared" si="60"/>
        <v>2.9061397616042219</v>
      </c>
      <c r="AQ182" s="24">
        <f t="shared" si="61"/>
        <v>166.50954301507713</v>
      </c>
      <c r="AR182" s="24">
        <f t="shared" si="62"/>
        <v>8.6768429497996511</v>
      </c>
      <c r="AS182" s="24">
        <f t="shared" si="77"/>
        <v>0.60407244626646417</v>
      </c>
      <c r="AT182" s="24">
        <f t="shared" si="78"/>
        <v>72.950639840934443</v>
      </c>
    </row>
    <row r="183" spans="4:46">
      <c r="D183" s="13"/>
      <c r="R183" s="12"/>
      <c r="S183" s="12"/>
      <c r="T183" s="12"/>
      <c r="U183" s="12"/>
      <c r="V183" s="12"/>
      <c r="W183" s="12"/>
      <c r="X183" s="12"/>
      <c r="Y183" s="24">
        <v>181</v>
      </c>
      <c r="Z183" s="24">
        <f t="shared" si="54"/>
        <v>68374.242217984312</v>
      </c>
      <c r="AA183" s="24" t="str">
        <f t="shared" si="63"/>
        <v>429608.034093577i</v>
      </c>
      <c r="AB183" s="24">
        <f t="shared" si="55"/>
        <v>8.870967741935484</v>
      </c>
      <c r="AD183" s="24" t="str">
        <f t="shared" si="56"/>
        <v>0.00599927636603131-0.05279868749909i</v>
      </c>
      <c r="AE183" s="24" t="str">
        <f t="shared" si="57"/>
        <v>0.970339397096149-0.18258842089332i</v>
      </c>
      <c r="AF183" s="24" t="str">
        <f t="shared" si="71"/>
        <v>-0.0269935450845006-0.369857133463345i</v>
      </c>
      <c r="AG183" s="24">
        <f t="shared" si="58"/>
        <v>0.37084086971361663</v>
      </c>
      <c r="AH183" s="24">
        <f t="shared" si="72"/>
        <v>-1.6436508619903649</v>
      </c>
      <c r="AI183" s="24">
        <f t="shared" si="53"/>
        <v>-94.174257385087657</v>
      </c>
      <c r="AJ183" s="24">
        <f t="shared" si="73"/>
        <v>-8.6162481813277907</v>
      </c>
      <c r="AL183" s="24" t="str">
        <f t="shared" si="74"/>
        <v>6.87039971978206E-07-0.000828878459096557i</v>
      </c>
      <c r="AM183" s="24" t="str">
        <f t="shared" si="75"/>
        <v>2.2928482551218+9.45420536435391i</v>
      </c>
      <c r="AN183" s="24" t="str">
        <f t="shared" si="76"/>
        <v>-2.63488950540567+0.63670541200451i</v>
      </c>
      <c r="AO183" s="24">
        <f t="shared" si="59"/>
        <v>2.7107261918852608</v>
      </c>
      <c r="AP183" s="24">
        <f t="shared" si="60"/>
        <v>2.9044937290878954</v>
      </c>
      <c r="AQ183" s="24">
        <f t="shared" si="61"/>
        <v>166.41523229895031</v>
      </c>
      <c r="AR183" s="24">
        <f t="shared" si="62"/>
        <v>8.6617130416960464</v>
      </c>
      <c r="AS183" s="24">
        <f t="shared" si="77"/>
        <v>4.54648603682557E-2</v>
      </c>
      <c r="AT183" s="24">
        <f t="shared" si="78"/>
        <v>72.240974913862658</v>
      </c>
    </row>
    <row r="184" spans="4:46">
      <c r="D184" s="13"/>
      <c r="R184" s="12"/>
      <c r="S184" s="12"/>
      <c r="T184" s="12"/>
      <c r="U184" s="12"/>
      <c r="V184" s="12"/>
      <c r="W184" s="12"/>
      <c r="X184" s="12"/>
      <c r="Y184" s="24">
        <v>182</v>
      </c>
      <c r="Z184" s="24">
        <f t="shared" si="54"/>
        <v>72711.757088212587</v>
      </c>
      <c r="AA184" s="24" t="str">
        <f t="shared" si="63"/>
        <v>456861.443795868i</v>
      </c>
      <c r="AB184" s="24">
        <f t="shared" si="55"/>
        <v>8.870967741935484</v>
      </c>
      <c r="AD184" s="24" t="str">
        <f t="shared" si="56"/>
        <v>0.00567546431431059-0.0496652320355011i</v>
      </c>
      <c r="AE184" s="24" t="str">
        <f t="shared" si="57"/>
        <v>0.966563644656533-0.193534876566153i</v>
      </c>
      <c r="AF184" s="24" t="str">
        <f t="shared" si="71"/>
        <v>-0.02916458307032-0.3470624170293i</v>
      </c>
      <c r="AG184" s="24">
        <f t="shared" si="58"/>
        <v>0.34828565032152181</v>
      </c>
      <c r="AH184" s="24">
        <f t="shared" si="72"/>
        <v>-1.6546320363557032</v>
      </c>
      <c r="AI184" s="24">
        <f t="shared" si="53"/>
        <v>-94.803432330318799</v>
      </c>
      <c r="AJ184" s="24">
        <f t="shared" si="73"/>
        <v>-9.1612883698395855</v>
      </c>
      <c r="AL184" s="24" t="str">
        <f t="shared" si="74"/>
        <v>6.07516129314816E-07-0.000779432973538436i</v>
      </c>
      <c r="AM184" s="24" t="str">
        <f t="shared" si="75"/>
        <v>2.45857733004541+10.0298589145349i</v>
      </c>
      <c r="AN184" s="24" t="str">
        <f t="shared" si="76"/>
        <v>-2.62854729481488+0.642153328082238i</v>
      </c>
      <c r="AO184" s="24">
        <f t="shared" si="59"/>
        <v>2.7058495482649656</v>
      </c>
      <c r="AP184" s="24">
        <f t="shared" si="60"/>
        <v>2.9019861279607904</v>
      </c>
      <c r="AQ184" s="24">
        <f t="shared" si="61"/>
        <v>166.27155733766494</v>
      </c>
      <c r="AR184" s="24">
        <f t="shared" si="62"/>
        <v>8.6460729023287204</v>
      </c>
      <c r="AS184" s="24">
        <f t="shared" si="77"/>
        <v>-0.51521546751086511</v>
      </c>
      <c r="AT184" s="24">
        <f t="shared" si="78"/>
        <v>71.468125007346146</v>
      </c>
    </row>
    <row r="185" spans="4:46">
      <c r="D185" s="13"/>
      <c r="R185" s="12"/>
      <c r="S185" s="12"/>
      <c r="T185" s="12"/>
      <c r="U185" s="12"/>
      <c r="V185" s="12"/>
      <c r="W185" s="12"/>
      <c r="X185" s="12"/>
      <c r="Y185" s="24">
        <v>183</v>
      </c>
      <c r="Z185" s="24">
        <f t="shared" si="54"/>
        <v>77324.434572886516</v>
      </c>
      <c r="AA185" s="24" t="str">
        <f t="shared" si="63"/>
        <v>485843.75119433i</v>
      </c>
      <c r="AB185" s="24">
        <f t="shared" si="55"/>
        <v>8.870967741935484</v>
      </c>
      <c r="AD185" s="24" t="str">
        <f t="shared" si="56"/>
        <v>0.00538895723478886-0.0467159813155854i</v>
      </c>
      <c r="AE185" s="24" t="str">
        <f t="shared" si="57"/>
        <v>0.962322524503312-0.205051907012873i</v>
      </c>
      <c r="AF185" s="24" t="str">
        <f t="shared" si="71"/>
        <v>-0.0310519571921917-0.325560348162407i</v>
      </c>
      <c r="AG185" s="24">
        <f t="shared" si="58"/>
        <v>0.32703786377282573</v>
      </c>
      <c r="AH185" s="24">
        <f t="shared" si="72"/>
        <v>-1.6658886945115285</v>
      </c>
      <c r="AI185" s="24">
        <f t="shared" si="53"/>
        <v>-95.448391334069086</v>
      </c>
      <c r="AJ185" s="24">
        <f t="shared" si="73"/>
        <v>-9.7080392540947287</v>
      </c>
      <c r="AL185" s="24" t="str">
        <f t="shared" si="74"/>
        <v>5.37197046800216E-07-0.000732937076575847i</v>
      </c>
      <c r="AM185" s="24" t="str">
        <f t="shared" si="75"/>
        <v>2.64504556378035+10.6372944908489i</v>
      </c>
      <c r="AN185" s="24" t="str">
        <f t="shared" si="76"/>
        <v>-2.6214178151477+0.649796057614944i</v>
      </c>
      <c r="AO185" s="24">
        <f t="shared" si="59"/>
        <v>2.7007529094801814</v>
      </c>
      <c r="AP185" s="24">
        <f t="shared" si="60"/>
        <v>2.898610633666777</v>
      </c>
      <c r="AQ185" s="24">
        <f t="shared" si="61"/>
        <v>166.07815576084749</v>
      </c>
      <c r="AR185" s="24">
        <f t="shared" si="62"/>
        <v>8.6296970524420242</v>
      </c>
      <c r="AS185" s="24">
        <f t="shared" si="77"/>
        <v>-1.0783422016527044</v>
      </c>
      <c r="AT185" s="24">
        <f t="shared" si="78"/>
        <v>70.629764426778408</v>
      </c>
    </row>
    <row r="186" spans="4:46">
      <c r="D186" s="13"/>
      <c r="R186" s="12"/>
      <c r="S186" s="12"/>
      <c r="T186" s="12"/>
      <c r="U186" s="12"/>
      <c r="V186" s="12"/>
      <c r="W186" s="12"/>
      <c r="X186" s="12"/>
      <c r="Y186" s="24">
        <v>184</v>
      </c>
      <c r="Z186" s="24">
        <f t="shared" si="54"/>
        <v>82229.730396460247</v>
      </c>
      <c r="AA186" s="24" t="str">
        <f t="shared" si="63"/>
        <v>516664.633840378i</v>
      </c>
      <c r="AB186" s="24">
        <f t="shared" si="55"/>
        <v>8.870967741935484</v>
      </c>
      <c r="AD186" s="24" t="str">
        <f t="shared" si="56"/>
        <v>0.0051354753546588-0.0439404025005861i</v>
      </c>
      <c r="AE186" s="24" t="str">
        <f t="shared" si="57"/>
        <v>0.957562779688518-0.217152391169957i</v>
      </c>
      <c r="AF186" s="24" t="str">
        <f t="shared" si="71"/>
        <v>-0.0326842330431994-0.305275175382376i</v>
      </c>
      <c r="AG186" s="24">
        <f t="shared" si="58"/>
        <v>0.30701985570051099</v>
      </c>
      <c r="AH186" s="24">
        <f t="shared" si="72"/>
        <v>-1.6774548516721051</v>
      </c>
      <c r="AI186" s="24">
        <f t="shared" si="53"/>
        <v>-96.111083324555139</v>
      </c>
      <c r="AJ186" s="24">
        <f t="shared" si="73"/>
        <v>-10.256670735256389</v>
      </c>
      <c r="AL186" s="24" t="str">
        <f t="shared" si="74"/>
        <v>4.75017288952464E-07-0.000689214816520248i</v>
      </c>
      <c r="AM186" s="24" t="str">
        <f t="shared" si="75"/>
        <v>2.85471131392145+11.2776200589445i</v>
      </c>
      <c r="AN186" s="24" t="str">
        <f t="shared" si="76"/>
        <v>-2.61340702671586+0.65961714606373i</v>
      </c>
      <c r="AO186" s="24">
        <f t="shared" si="59"/>
        <v>2.6953647372237195</v>
      </c>
      <c r="AP186" s="24">
        <f t="shared" si="60"/>
        <v>2.8943588872518298</v>
      </c>
      <c r="AQ186" s="24">
        <f t="shared" si="61"/>
        <v>165.83454863571114</v>
      </c>
      <c r="AR186" s="24">
        <f t="shared" si="62"/>
        <v>8.6123508460806573</v>
      </c>
      <c r="AS186" s="24">
        <f t="shared" si="77"/>
        <v>-1.6443198891757316</v>
      </c>
      <c r="AT186" s="24">
        <f t="shared" si="78"/>
        <v>69.723465311156005</v>
      </c>
    </row>
    <row r="187" spans="4:46">
      <c r="D187" s="13"/>
      <c r="R187" s="12"/>
      <c r="S187" s="12"/>
      <c r="T187" s="12"/>
      <c r="U187" s="12"/>
      <c r="V187" s="12"/>
      <c r="W187" s="12"/>
      <c r="X187" s="12"/>
      <c r="Y187" s="24">
        <v>185</v>
      </c>
      <c r="Z187" s="24">
        <f t="shared" si="54"/>
        <v>87446.207637003507</v>
      </c>
      <c r="AA187" s="24" t="str">
        <f t="shared" si="63"/>
        <v>549440.726993396i</v>
      </c>
      <c r="AB187" s="24">
        <f t="shared" si="55"/>
        <v>8.870967741935484</v>
      </c>
      <c r="AD187" s="24" t="str">
        <f t="shared" si="56"/>
        <v>0.00491122597877509-0.0413285148762568i</v>
      </c>
      <c r="AE187" s="24" t="str">
        <f t="shared" si="57"/>
        <v>0.952226150635744-0.229845901948292i</v>
      </c>
      <c r="AF187" s="24" t="str">
        <f t="shared" si="71"/>
        <v>-0.0340863114956735-0.286135205938623i</v>
      </c>
      <c r="AG187" s="24">
        <f t="shared" si="58"/>
        <v>0.2881583465890209</v>
      </c>
      <c r="AH187" s="24">
        <f t="shared" si="72"/>
        <v>-1.6893641530798607</v>
      </c>
      <c r="AI187" s="24">
        <f t="shared" si="53"/>
        <v>-96.793436032168756</v>
      </c>
      <c r="AJ187" s="24">
        <f t="shared" si="73"/>
        <v>-10.807375928728247</v>
      </c>
      <c r="AL187" s="24" t="str">
        <f t="shared" si="74"/>
        <v>4.20034742416739E-07-0.000648100737530482i</v>
      </c>
      <c r="AM187" s="24" t="str">
        <f t="shared" si="75"/>
        <v>3.0902874823879+11.9518475350289i</v>
      </c>
      <c r="AN187" s="24" t="str">
        <f t="shared" si="76"/>
        <v>-2.60441123064872+0.671599978808369i</v>
      </c>
      <c r="AO187" s="24">
        <f t="shared" si="59"/>
        <v>2.689610453181758</v>
      </c>
      <c r="AP187" s="24">
        <f t="shared" si="60"/>
        <v>2.8892205934001862</v>
      </c>
      <c r="AQ187" s="24">
        <f t="shared" si="61"/>
        <v>165.54014608411393</v>
      </c>
      <c r="AR187" s="24">
        <f t="shared" si="62"/>
        <v>8.5937876797182504</v>
      </c>
      <c r="AS187" s="24">
        <f t="shared" si="77"/>
        <v>-2.2135882490099963</v>
      </c>
      <c r="AT187" s="24">
        <f t="shared" si="78"/>
        <v>68.746710051945172</v>
      </c>
    </row>
    <row r="188" spans="4:46">
      <c r="D188" s="13"/>
      <c r="R188" s="12"/>
      <c r="S188" s="12"/>
      <c r="T188" s="12"/>
      <c r="U188" s="12"/>
      <c r="V188" s="12"/>
      <c r="W188" s="12"/>
      <c r="X188" s="12"/>
      <c r="Y188" s="24">
        <v>186</v>
      </c>
      <c r="Z188" s="24">
        <f t="shared" si="54"/>
        <v>92993.606974334747</v>
      </c>
      <c r="AA188" s="24" t="str">
        <f t="shared" si="63"/>
        <v>584296.065002773i</v>
      </c>
      <c r="AB188" s="24">
        <f t="shared" si="55"/>
        <v>8.870967741935484</v>
      </c>
      <c r="AD188" s="24" t="str">
        <f t="shared" si="56"/>
        <v>0.00471284891000302-0.0388708696038991i</v>
      </c>
      <c r="AE188" s="24" t="str">
        <f t="shared" si="57"/>
        <v>0.946249199749696-0.24313785822529i</v>
      </c>
      <c r="AF188" s="24" t="str">
        <f t="shared" si="71"/>
        <v>-0.0352798115059805-0.268072692309455i</v>
      </c>
      <c r="AG188" s="24">
        <f t="shared" si="58"/>
        <v>0.27038423301283171</v>
      </c>
      <c r="AH188" s="24">
        <f t="shared" si="72"/>
        <v>-1.7016497164504898</v>
      </c>
      <c r="AI188" s="24">
        <f t="shared" si="53"/>
        <v>-97.497346962246311</v>
      </c>
      <c r="AJ188" s="24">
        <f t="shared" si="73"/>
        <v>-11.360372742416466</v>
      </c>
      <c r="AL188" s="24" t="str">
        <f t="shared" si="74"/>
        <v>3.71416341715356E-07-0.000609439253548094i</v>
      </c>
      <c r="AM188" s="24" t="str">
        <f t="shared" si="75"/>
        <v>3.35475787769305+12.660858925189i</v>
      </c>
      <c r="AN188" s="24" t="str">
        <f t="shared" si="76"/>
        <v>-2.59431644059111+0.685726281982804i</v>
      </c>
      <c r="AO188" s="24">
        <f t="shared" si="59"/>
        <v>2.6834116955329992</v>
      </c>
      <c r="AP188" s="24">
        <f t="shared" si="60"/>
        <v>2.8831836496664147</v>
      </c>
      <c r="AQ188" s="24">
        <f t="shared" si="61"/>
        <v>165.1942546870109</v>
      </c>
      <c r="AR188" s="24">
        <f t="shared" si="62"/>
        <v>8.573746165937937</v>
      </c>
      <c r="AS188" s="24">
        <f t="shared" si="77"/>
        <v>-2.786626576478529</v>
      </c>
      <c r="AT188" s="24">
        <f t="shared" si="78"/>
        <v>67.696907724764586</v>
      </c>
    </row>
    <row r="189" spans="4:46">
      <c r="D189" s="13"/>
      <c r="R189" s="12"/>
      <c r="S189" s="12"/>
      <c r="T189" s="12"/>
      <c r="U189" s="12"/>
      <c r="V189" s="12"/>
      <c r="W189" s="12"/>
      <c r="X189" s="12"/>
      <c r="Y189" s="24">
        <v>187</v>
      </c>
      <c r="Z189" s="24">
        <f t="shared" si="54"/>
        <v>98892.921394542427</v>
      </c>
      <c r="AA189" s="24" t="str">
        <f t="shared" si="63"/>
        <v>621362.550690255i</v>
      </c>
      <c r="AB189" s="24">
        <f t="shared" si="55"/>
        <v>8.870967741935484</v>
      </c>
      <c r="AD189" s="24" t="str">
        <f t="shared" si="56"/>
        <v>0.00453736779822502-0.0365585285815039i</v>
      </c>
      <c r="AE189" s="24" t="str">
        <f t="shared" si="57"/>
        <v>0.939563218794912-0.257028555054315i</v>
      </c>
      <c r="AF189" s="24" t="str">
        <f t="shared" si="71"/>
        <v>-0.0362834136041274-0.251023716841248i</v>
      </c>
      <c r="AG189" s="24">
        <f t="shared" si="58"/>
        <v>0.25363239643145596</v>
      </c>
      <c r="AH189" s="24">
        <f t="shared" si="72"/>
        <v>-1.7143439301391106</v>
      </c>
      <c r="AI189" s="24">
        <f t="shared" si="53"/>
        <v>-98.224671830841473</v>
      </c>
      <c r="AJ189" s="24">
        <f t="shared" si="73"/>
        <v>-11.915905497444667</v>
      </c>
      <c r="AL189" s="24" t="str">
        <f t="shared" si="74"/>
        <v>3.28425447197979E-07-0.000573084059571286i</v>
      </c>
      <c r="AM189" s="24" t="str">
        <f t="shared" si="75"/>
        <v>3.65139173247187+13.4053666080604i</v>
      </c>
      <c r="AN189" s="24" t="str">
        <f t="shared" si="76"/>
        <v>-2.58299782525255+0.701974412574236i</v>
      </c>
      <c r="AO189" s="24">
        <f t="shared" si="59"/>
        <v>2.6766856074571677</v>
      </c>
      <c r="AP189" s="24">
        <f t="shared" si="60"/>
        <v>2.8762343106599699</v>
      </c>
      <c r="AQ189" s="24">
        <f t="shared" si="61"/>
        <v>164.79608689153596</v>
      </c>
      <c r="AR189" s="24">
        <f t="shared" si="62"/>
        <v>8.5519472745803196</v>
      </c>
      <c r="AS189" s="24">
        <f t="shared" si="77"/>
        <v>-3.3639582228643476</v>
      </c>
      <c r="AT189" s="24">
        <f t="shared" si="78"/>
        <v>66.571415060694491</v>
      </c>
    </row>
    <row r="190" spans="4:46">
      <c r="D190" s="13"/>
      <c r="R190" s="12"/>
      <c r="S190" s="12"/>
      <c r="T190" s="12"/>
      <c r="U190" s="12"/>
      <c r="V190" s="12"/>
      <c r="W190" s="12"/>
      <c r="X190" s="12"/>
      <c r="Y190" s="24">
        <v>188</v>
      </c>
      <c r="Z190" s="24">
        <f t="shared" si="54"/>
        <v>105166.47563360249</v>
      </c>
      <c r="AA190" s="24" t="str">
        <f t="shared" si="63"/>
        <v>660780.454508911i</v>
      </c>
      <c r="AB190" s="24">
        <f t="shared" si="55"/>
        <v>8.870967741935484</v>
      </c>
      <c r="AD190" s="24" t="str">
        <f t="shared" si="56"/>
        <v>0.0043821468155128-0.0343830428110606i</v>
      </c>
      <c r="AE190" s="24" t="str">
        <f t="shared" si="57"/>
        <v>0.932094248654523-0.271512068066194i</v>
      </c>
      <c r="AF190" s="24" t="str">
        <f t="shared" si="71"/>
        <v>-0.0371131694568959-0.234928077506167i</v>
      </c>
      <c r="AG190" s="24">
        <f t="shared" si="58"/>
        <v>0.23784152065583478</v>
      </c>
      <c r="AH190" s="24">
        <f t="shared" si="72"/>
        <v>-1.7274782014431846</v>
      </c>
      <c r="AI190" s="24">
        <f t="shared" si="53"/>
        <v>-98.977210143544724</v>
      </c>
      <c r="AJ190" s="24">
        <f t="shared" si="73"/>
        <v>-12.474246542062479</v>
      </c>
      <c r="AL190" s="24" t="str">
        <f t="shared" si="74"/>
        <v>2.90410683957229E-07-0.000538897578041378i</v>
      </c>
      <c r="AM190" s="24" t="str">
        <f t="shared" si="75"/>
        <v>3.98375531868142+14.1858672200671i</v>
      </c>
      <c r="AN190" s="24" t="str">
        <f t="shared" si="76"/>
        <v>-2.57031926204675+0.720317416435117i</v>
      </c>
      <c r="AO190" s="24">
        <f t="shared" si="59"/>
        <v>2.6693441683807491</v>
      </c>
      <c r="AP190" s="24">
        <f t="shared" si="60"/>
        <v>2.8683573916259544</v>
      </c>
      <c r="AQ190" s="24">
        <f t="shared" si="61"/>
        <v>164.3447726753206</v>
      </c>
      <c r="AR190" s="24">
        <f t="shared" si="62"/>
        <v>8.5280914517134647</v>
      </c>
      <c r="AS190" s="24">
        <f t="shared" si="77"/>
        <v>-3.9461550903490146</v>
      </c>
      <c r="AT190" s="24">
        <f t="shared" si="78"/>
        <v>65.367562531775874</v>
      </c>
    </row>
    <row r="191" spans="4:46">
      <c r="D191" s="13"/>
      <c r="R191" s="12"/>
      <c r="S191" s="12"/>
      <c r="T191" s="12"/>
      <c r="U191" s="12"/>
      <c r="V191" s="12"/>
      <c r="W191" s="12"/>
      <c r="X191" s="12"/>
      <c r="Y191" s="24">
        <v>189</v>
      </c>
      <c r="Z191" s="24">
        <f t="shared" si="54"/>
        <v>111838.01066072512</v>
      </c>
      <c r="AA191" s="24" t="str">
        <f t="shared" si="63"/>
        <v>702698.945367662i</v>
      </c>
      <c r="AB191" s="24">
        <f t="shared" si="55"/>
        <v>8.870967741935484</v>
      </c>
      <c r="AD191" s="24" t="str">
        <f t="shared" si="56"/>
        <v>0.00424485210677454-0.0323364305894333i</v>
      </c>
      <c r="AE191" s="24" t="str">
        <f t="shared" si="57"/>
        <v>0.923763246406826-0.286575032726784i</v>
      </c>
      <c r="AF191" s="24" t="str">
        <f t="shared" si="71"/>
        <v>-0.037782782719462-0.219729177023067i</v>
      </c>
      <c r="AG191" s="24">
        <f t="shared" si="58"/>
        <v>0.22295391879323495</v>
      </c>
      <c r="AH191" s="24">
        <f t="shared" si="72"/>
        <v>-1.7410826495186817</v>
      </c>
      <c r="AI191" s="24">
        <f t="shared" si="53"/>
        <v>-99.75668760087558</v>
      </c>
      <c r="AJ191" s="24">
        <f t="shared" si="73"/>
        <v>-13.035697795704781</v>
      </c>
      <c r="AL191" s="24" t="str">
        <f t="shared" si="74"/>
        <v>2.56796072609331E-07-0.000506750438248561i</v>
      </c>
      <c r="AM191" s="24" t="str">
        <f t="shared" si="75"/>
        <v>4.35571934815537+15.0025886920296i</v>
      </c>
      <c r="AN191" s="24" t="str">
        <f t="shared" si="76"/>
        <v>-2.5561330517766+0.740720836315406i</v>
      </c>
      <c r="AO191" s="24">
        <f t="shared" si="59"/>
        <v>2.6612935831539799</v>
      </c>
      <c r="AP191" s="24">
        <f t="shared" si="60"/>
        <v>2.8595365164685744</v>
      </c>
      <c r="AQ191" s="24">
        <f t="shared" si="61"/>
        <v>163.83937375719094</v>
      </c>
      <c r="AR191" s="24">
        <f t="shared" si="62"/>
        <v>8.5018557361293698</v>
      </c>
      <c r="AS191" s="24">
        <f t="shared" si="77"/>
        <v>-4.5338420595754112</v>
      </c>
      <c r="AT191" s="24">
        <f t="shared" si="78"/>
        <v>64.082686156315361</v>
      </c>
    </row>
    <row r="192" spans="4:46">
      <c r="D192" s="13"/>
      <c r="R192" s="12"/>
      <c r="S192" s="12"/>
      <c r="T192" s="12"/>
      <c r="U192" s="12"/>
      <c r="V192" s="12"/>
      <c r="W192" s="12"/>
      <c r="X192" s="12"/>
      <c r="Y192" s="24">
        <v>190</v>
      </c>
      <c r="Z192" s="24">
        <f t="shared" si="54"/>
        <v>118932.77352114675</v>
      </c>
      <c r="AA192" s="24" t="str">
        <f t="shared" si="63"/>
        <v>747276.655130187i</v>
      </c>
      <c r="AB192" s="24">
        <f t="shared" si="55"/>
        <v>8.870967741935484</v>
      </c>
      <c r="AD192" s="24" t="str">
        <f t="shared" si="56"/>
        <v>0.00412341751480324-0.0304111557747862i</v>
      </c>
      <c r="AE192" s="24" t="str">
        <f t="shared" si="57"/>
        <v>0.914486439923993-0.302195305730126i</v>
      </c>
      <c r="AF192" s="24" t="str">
        <f t="shared" si="71"/>
        <v>-0.0383038662300717-0.205373916875764i</v>
      </c>
      <c r="AG192" s="24">
        <f t="shared" si="58"/>
        <v>0.20891537018865902</v>
      </c>
      <c r="AH192" s="24">
        <f t="shared" si="72"/>
        <v>-1.7551857377446256</v>
      </c>
      <c r="AI192" s="24">
        <f t="shared" si="53"/>
        <v>-100.56473503432281</v>
      </c>
      <c r="AJ192" s="24">
        <f t="shared" si="73"/>
        <v>-13.600592144140782</v>
      </c>
      <c r="AL192" s="24" t="str">
        <f t="shared" si="74"/>
        <v>2.27072302411267E-07-0.000476520986788028i</v>
      </c>
      <c r="AM192" s="24" t="str">
        <f t="shared" si="75"/>
        <v>4.77146056386397+15.8554301400925i</v>
      </c>
      <c r="AN192" s="24" t="str">
        <f t="shared" si="76"/>
        <v>-2.54027985508293+0.763140257938358i</v>
      </c>
      <c r="AO192" s="24">
        <f t="shared" si="59"/>
        <v>2.6524337494886421</v>
      </c>
      <c r="AP192" s="24">
        <f t="shared" si="60"/>
        <v>2.8497544157361294</v>
      </c>
      <c r="AQ192" s="24">
        <f t="shared" si="61"/>
        <v>163.27890067045001</v>
      </c>
      <c r="AR192" s="24">
        <f t="shared" si="62"/>
        <v>8.4728909045056149</v>
      </c>
      <c r="AS192" s="24">
        <f t="shared" si="77"/>
        <v>-5.1277012396351669</v>
      </c>
      <c r="AT192" s="24">
        <f t="shared" si="78"/>
        <v>62.714165636127206</v>
      </c>
    </row>
    <row r="193" spans="4:46">
      <c r="D193" s="13"/>
      <c r="R193" s="12"/>
      <c r="S193" s="12"/>
      <c r="T193" s="12"/>
      <c r="U193" s="12"/>
      <c r="V193" s="12"/>
      <c r="W193" s="12"/>
      <c r="X193" s="12"/>
      <c r="Y193" s="24">
        <v>191</v>
      </c>
      <c r="Z193" s="24">
        <f t="shared" si="54"/>
        <v>126477.61287835392</v>
      </c>
      <c r="AA193" s="24" t="str">
        <f t="shared" si="63"/>
        <v>794682.278924421i</v>
      </c>
      <c r="AB193" s="24">
        <f t="shared" si="55"/>
        <v>8.870967741935484</v>
      </c>
      <c r="AD193" s="24" t="str">
        <f t="shared" si="56"/>
        <v>0.00401601412553713-0.028600106326323i</v>
      </c>
      <c r="AE193" s="24" t="str">
        <f t="shared" si="57"/>
        <v>0.904175914925816-0.318340524699878i</v>
      </c>
      <c r="AF193" s="24" t="str">
        <f t="shared" si="71"/>
        <v>-0.0386861804415602-0.191812597048618i</v>
      </c>
      <c r="AG193" s="24">
        <f t="shared" si="58"/>
        <v>0.19567496759599182</v>
      </c>
      <c r="AH193" s="24">
        <f t="shared" si="72"/>
        <v>-1.7698138411356745</v>
      </c>
      <c r="AI193" s="24">
        <f t="shared" si="53"/>
        <v>-101.40286362091092</v>
      </c>
      <c r="AJ193" s="24">
        <f t="shared" si="73"/>
        <v>-14.169294588555154</v>
      </c>
      <c r="AL193" s="24" t="str">
        <f t="shared" si="74"/>
        <v>2.00789014493216E-07-0.000448094827215164i</v>
      </c>
      <c r="AM193" s="24" t="str">
        <f t="shared" si="75"/>
        <v>5.23545562627319+16.7438945513102i</v>
      </c>
      <c r="AN193" s="24" t="str">
        <f t="shared" si="76"/>
        <v>-2.52258892285301+0.787518591228863i</v>
      </c>
      <c r="AO193" s="24">
        <f t="shared" si="59"/>
        <v>2.642657829767562</v>
      </c>
      <c r="AP193" s="24">
        <f t="shared" si="60"/>
        <v>2.8389932803675597</v>
      </c>
      <c r="AQ193" s="24">
        <f t="shared" si="61"/>
        <v>162.66233303106202</v>
      </c>
      <c r="AR193" s="24">
        <f t="shared" si="62"/>
        <v>8.4408186900734155</v>
      </c>
      <c r="AS193" s="24">
        <f t="shared" si="77"/>
        <v>-5.7284758984817383</v>
      </c>
      <c r="AT193" s="24">
        <f t="shared" si="78"/>
        <v>61.259469410151098</v>
      </c>
    </row>
    <row r="194" spans="4:46">
      <c r="D194" s="13"/>
      <c r="R194" s="12"/>
      <c r="S194" s="12"/>
      <c r="T194" s="12"/>
      <c r="U194" s="12"/>
      <c r="V194" s="12"/>
      <c r="W194" s="12"/>
      <c r="X194" s="12"/>
      <c r="Y194" s="24">
        <v>192</v>
      </c>
      <c r="Z194" s="24">
        <f t="shared" si="54"/>
        <v>134501.0806172993</v>
      </c>
      <c r="AA194" s="24" t="str">
        <f t="shared" si="63"/>
        <v>845095.213534392i</v>
      </c>
      <c r="AB194" s="24">
        <f t="shared" si="55"/>
        <v>8.870967741935484</v>
      </c>
      <c r="AD194" s="24" t="str">
        <f t="shared" si="56"/>
        <v>0.00392102322317646-0.0268965732703354i</v>
      </c>
      <c r="AE194" s="24" t="str">
        <f t="shared" si="57"/>
        <v>0.892740482937763-0.334966593833979i</v>
      </c>
      <c r="AF194" s="24" t="str">
        <f t="shared" si="71"/>
        <v>-0.0389378577997665-0.178998821557794i</v>
      </c>
      <c r="AG194" s="24">
        <f t="shared" si="58"/>
        <v>0.18318497451787311</v>
      </c>
      <c r="AH194" s="24">
        <f t="shared" si="72"/>
        <v>-1.7849907456973191</v>
      </c>
      <c r="AI194" s="24">
        <f t="shared" ref="AI194:AI202" si="79">AH194/(PI())*180</f>
        <v>-102.27243619836599</v>
      </c>
      <c r="AJ194" s="24">
        <f t="shared" si="73"/>
        <v>-14.742203031659219</v>
      </c>
      <c r="AL194" s="24" t="str">
        <f t="shared" si="74"/>
        <v>1.77547978288805E-07-0.000421364387158574i</v>
      </c>
      <c r="AM194" s="24" t="str">
        <f t="shared" si="75"/>
        <v>5.75246509520793+17.6670145451481i</v>
      </c>
      <c r="AN194" s="24" t="str">
        <f t="shared" si="76"/>
        <v>-2.50287870437266+0.813783096831917i</v>
      </c>
      <c r="AO194" s="24">
        <f t="shared" si="59"/>
        <v>2.6318519596458141</v>
      </c>
      <c r="AP194" s="24">
        <f t="shared" si="60"/>
        <v>2.8272351770115063</v>
      </c>
      <c r="AQ194" s="24">
        <f t="shared" si="61"/>
        <v>161.98864333368152</v>
      </c>
      <c r="AR194" s="24">
        <f t="shared" si="62"/>
        <v>8.4052291356383897</v>
      </c>
      <c r="AS194" s="24">
        <f t="shared" si="77"/>
        <v>-6.3369738960208295</v>
      </c>
      <c r="AT194" s="24">
        <f t="shared" si="78"/>
        <v>59.716207135315528</v>
      </c>
    </row>
    <row r="195" spans="4:46">
      <c r="D195" s="13"/>
      <c r="R195" s="12"/>
      <c r="S195" s="12"/>
      <c r="T195" s="12"/>
      <c r="U195" s="12"/>
      <c r="V195" s="12"/>
      <c r="W195" s="12"/>
      <c r="X195" s="12"/>
      <c r="Y195" s="24">
        <v>193</v>
      </c>
      <c r="Z195" s="24">
        <f t="shared" ref="Z195:Z202" si="80">10^(LOG($G$6/$G$5,10)*Y195/200)</f>
        <v>143033.53989310883</v>
      </c>
      <c r="AA195" s="24" t="str">
        <f t="shared" si="63"/>
        <v>898706.236290267i</v>
      </c>
      <c r="AB195" s="24">
        <f t="shared" ref="AB195:AB202" si="81">$B$23/$G$3</f>
        <v>8.870967741935484</v>
      </c>
      <c r="AD195" s="24" t="str">
        <f t="shared" ref="AD195:AD202" si="82">IMDIV(IMSUM(1,IMDIV(AA195,$G$12)),IMSUM(1,IMDIV(AA195,$G$14)))</f>
        <v>0.00383701228543273-0.0252942302087148i</v>
      </c>
      <c r="AE195" s="24" t="str">
        <f t="shared" ref="AE195:AE202" si="83">IMDIV(1,IMSUM(1,IMDIV(AA195,IMPRODUCT($G$10*$G$11)),IMDIV(IMPRODUCT(AA195,AA195),$G$10*$G$10)))</f>
        <v>0.880086880012869-0.352016137316046i</v>
      </c>
      <c r="AF195" s="24" t="str">
        <f t="shared" si="71"/>
        <v>-0.0390656175402851-0.166889409071315i</v>
      </c>
      <c r="AG195" s="24">
        <f t="shared" ref="AG195:AG202" si="84">IMABS(AF195)</f>
        <v>0.17140069233808988</v>
      </c>
      <c r="AH195" s="24">
        <f t="shared" si="72"/>
        <v>-1.800737078578984</v>
      </c>
      <c r="AI195" s="24">
        <f t="shared" si="79"/>
        <v>-103.17463461529347</v>
      </c>
      <c r="AJ195" s="24">
        <f t="shared" si="73"/>
        <v>-15.319748563308362</v>
      </c>
      <c r="AL195" s="24" t="str">
        <f t="shared" si="74"/>
        <v>1.56997057778308E-07-0.000396228511253584i</v>
      </c>
      <c r="AM195" s="24" t="str">
        <f t="shared" si="75"/>
        <v>6.32750502482855+18.6232719570874i</v>
      </c>
      <c r="AN195" s="24" t="str">
        <f t="shared" si="76"/>
        <v>-2.48095792778744+0.841842185811403i</v>
      </c>
      <c r="AO195" s="24">
        <f t="shared" ref="AO195:AO202" si="85">IMABS(AN195)</f>
        <v>2.6198951324934874</v>
      </c>
      <c r="AP195" s="24">
        <f t="shared" ref="AP195:AP202" si="86">IMARGUMENT(AN195)</f>
        <v>2.8144625303730955</v>
      </c>
      <c r="AQ195" s="24">
        <f t="shared" ref="AQ195:AQ202" si="87">AP195/(PI())*180</f>
        <v>161.25682458808865</v>
      </c>
      <c r="AR195" s="24">
        <f t="shared" ref="AR195:AR202" si="88">20*LOG(AO195,10)</f>
        <v>8.3656781600522514</v>
      </c>
      <c r="AS195" s="24">
        <f t="shared" si="77"/>
        <v>-6.9540704032561109</v>
      </c>
      <c r="AT195" s="24">
        <f t="shared" si="78"/>
        <v>58.082189972795177</v>
      </c>
    </row>
    <row r="196" spans="4:46">
      <c r="D196" s="13"/>
      <c r="R196" s="12"/>
      <c r="S196" s="12"/>
      <c r="T196" s="12"/>
      <c r="U196" s="12"/>
      <c r="V196" s="12"/>
      <c r="W196" s="12"/>
      <c r="X196" s="12"/>
      <c r="Y196" s="24">
        <v>194</v>
      </c>
      <c r="Z196" s="24">
        <f t="shared" si="80"/>
        <v>152107.28003416685</v>
      </c>
      <c r="AA196" s="24" t="str">
        <f t="shared" ref="AA196:AA202" si="89">IMPRODUCT(COMPLEX(0,1),2*PI()*Z196)</f>
        <v>955718.227025728i</v>
      </c>
      <c r="AB196" s="24">
        <f t="shared" si="81"/>
        <v>8.870967741935484</v>
      </c>
      <c r="AD196" s="24" t="str">
        <f t="shared" si="82"/>
        <v>0.00376271368659038-0.0237871134559039i</v>
      </c>
      <c r="AE196" s="24" t="str">
        <f t="shared" si="83"/>
        <v>0.866121344261892-0.369416979153422i</v>
      </c>
      <c r="AF196" s="24" t="str">
        <f t="shared" si="71"/>
        <v>-0.0390749750404199-0.155444307075784i</v>
      </c>
      <c r="AG196" s="24">
        <f t="shared" si="84"/>
        <v>0.16028033652535195</v>
      </c>
      <c r="AH196" s="24">
        <f t="shared" ref="AH196:AH202" si="90">IMARGUMENT(AF196)</f>
        <v>-1.8170696706438931</v>
      </c>
      <c r="AI196" s="24">
        <f t="shared" si="79"/>
        <v>-104.11042320912162</v>
      </c>
      <c r="AJ196" s="24">
        <f t="shared" ref="AJ196:AJ202" si="91">20*LOG(AG196,10)</f>
        <v>-15.902395087832682</v>
      </c>
      <c r="AL196" s="24" t="str">
        <f t="shared" ref="AL196:AL202" si="92">IMDIV(1,IMSUM(1,IMDIV(AA196,wp2e)))</f>
        <v>1.38824876126274E-07-0.000372592078356382i</v>
      </c>
      <c r="AM196" s="24" t="str">
        <f t="shared" ref="AM196:AM202" si="93">IMDIV(IMSUM(1,IMDIV(AA196,wz2e)),IMSUM(1,IMDIV(AA196,wp1e)))</f>
        <v>6.96580346258145+19.6105125975607i</v>
      </c>
      <c r="AN196" s="24" t="str">
        <f t="shared" ref="AN196:AN202" si="94">IMPRODUCT($AK$2,AL196,AM196)</f>
        <v>-2.45662725608424+0.871582043585068i</v>
      </c>
      <c r="AO196" s="24">
        <f t="shared" si="85"/>
        <v>2.6066593053247114</v>
      </c>
      <c r="AP196" s="24">
        <f t="shared" si="86"/>
        <v>2.8006586772070232</v>
      </c>
      <c r="AQ196" s="24">
        <f t="shared" si="87"/>
        <v>160.46592206065441</v>
      </c>
      <c r="AR196" s="24">
        <f t="shared" si="88"/>
        <v>8.3216854374325742</v>
      </c>
      <c r="AS196" s="24">
        <f t="shared" ref="AS196:AS202" si="95">AR196+AJ196</f>
        <v>-7.5807096504001077</v>
      </c>
      <c r="AT196" s="24">
        <f t="shared" ref="AT196:AT202" si="96">AQ196+AI196</f>
        <v>56.355498851532786</v>
      </c>
    </row>
    <row r="197" spans="4:46">
      <c r="D197" s="13"/>
      <c r="R197" s="12"/>
      <c r="S197" s="12"/>
      <c r="T197" s="12"/>
      <c r="U197" s="12"/>
      <c r="V197" s="12"/>
      <c r="W197" s="12"/>
      <c r="X197" s="12"/>
      <c r="Y197" s="24">
        <v>195</v>
      </c>
      <c r="Z197" s="24">
        <f t="shared" si="80"/>
        <v>161756.63873440344</v>
      </c>
      <c r="AA197" s="24" t="str">
        <f t="shared" si="89"/>
        <v>1016346.93583476i</v>
      </c>
      <c r="AB197" s="24">
        <f t="shared" si="81"/>
        <v>8.870967741935484</v>
      </c>
      <c r="AD197" s="24" t="str">
        <f t="shared" si="82"/>
        <v>0.00369700581029358-0.0223696028656351i</v>
      </c>
      <c r="AE197" s="24" t="str">
        <f t="shared" si="83"/>
        <v>0.850751613884409-0.387080727147476i</v>
      </c>
      <c r="AF197" s="24" t="str">
        <f t="shared" si="71"/>
        <v>-0.0389704493838831-0.144626507170818i</v>
      </c>
      <c r="AG197" s="24">
        <f t="shared" si="84"/>
        <v>0.14978492080851286</v>
      </c>
      <c r="AH197" s="24">
        <f t="shared" si="90"/>
        <v>-1.8340008567648516</v>
      </c>
      <c r="AI197" s="24">
        <f t="shared" si="79"/>
        <v>-105.08050871600301</v>
      </c>
      <c r="AJ197" s="24">
        <f t="shared" si="91"/>
        <v>-16.490638117148297</v>
      </c>
      <c r="AL197" s="24" t="str">
        <f t="shared" si="92"/>
        <v>1.22756097876381E-07-0.000350365641590784i</v>
      </c>
      <c r="AM197" s="24" t="str">
        <f t="shared" si="93"/>
        <v>7.67273901938507+20.6258583004478i</v>
      </c>
      <c r="AN197" s="24" t="str">
        <f t="shared" si="94"/>
        <v>-2.42968162651755+0.902863158183018i</v>
      </c>
      <c r="AO197" s="24">
        <f t="shared" si="85"/>
        <v>2.5920097778830193</v>
      </c>
      <c r="AP197" s="24">
        <f t="shared" si="86"/>
        <v>2.7858084951300555</v>
      </c>
      <c r="AQ197" s="24">
        <f t="shared" si="87"/>
        <v>159.61506930264332</v>
      </c>
      <c r="AR197" s="24">
        <f t="shared" si="88"/>
        <v>8.2727327099636323</v>
      </c>
      <c r="AS197" s="24">
        <f t="shared" si="95"/>
        <v>-8.2179054071846647</v>
      </c>
      <c r="AT197" s="24">
        <f t="shared" si="96"/>
        <v>54.53456058664031</v>
      </c>
    </row>
    <row r="198" spans="4:46">
      <c r="D198" s="13"/>
      <c r="R198" s="12"/>
      <c r="S198" s="12"/>
      <c r="T198" s="12"/>
      <c r="U198" s="12"/>
      <c r="V198" s="12"/>
      <c r="W198" s="12"/>
      <c r="X198" s="12"/>
      <c r="Y198" s="24">
        <v>196</v>
      </c>
      <c r="Z198" s="24">
        <f t="shared" si="80"/>
        <v>172018.13199719929</v>
      </c>
      <c r="AA198" s="24" t="str">
        <f t="shared" si="89"/>
        <v>1080821.79953328i</v>
      </c>
      <c r="AB198" s="24">
        <f t="shared" si="81"/>
        <v>8.870967741935484</v>
      </c>
      <c r="AD198" s="24" t="str">
        <f t="shared" si="82"/>
        <v>0.00363889630515484-0.0210364033888214i</v>
      </c>
      <c r="AE198" s="24" t="str">
        <f t="shared" si="83"/>
        <v>0.833889375086757-0.404901559015569i</v>
      </c>
      <c r="AF198" s="24" t="str">
        <f t="shared" si="71"/>
        <v>-0.0387557721185489-0.134401958182137i</v>
      </c>
      <c r="AG198" s="24">
        <f t="shared" si="84"/>
        <v>0.13987814781336574</v>
      </c>
      <c r="AH198" s="24">
        <f t="shared" si="90"/>
        <v>-1.8515377238599475</v>
      </c>
      <c r="AI198" s="24">
        <f t="shared" si="79"/>
        <v>-106.08529718643386</v>
      </c>
      <c r="AJ198" s="24">
        <f t="shared" si="91"/>
        <v>-17.085002540089764</v>
      </c>
      <c r="AL198" s="24" t="str">
        <f t="shared" si="92"/>
        <v>1.08547257222845E-07-0.000329465089865889i</v>
      </c>
      <c r="AM198" s="24" t="str">
        <f t="shared" si="93"/>
        <v>8.45375871790576+21.6656192907243i</v>
      </c>
      <c r="AN198" s="24" t="str">
        <f t="shared" si="94"/>
        <v>-2.39991337989921+0.935516867828921i</v>
      </c>
      <c r="AO198" s="24">
        <f t="shared" si="85"/>
        <v>2.575805901268899</v>
      </c>
      <c r="AP198" s="24">
        <f t="shared" si="86"/>
        <v>2.7698991072379733</v>
      </c>
      <c r="AQ198" s="24">
        <f t="shared" si="87"/>
        <v>158.70352852179047</v>
      </c>
      <c r="AR198" s="24">
        <f t="shared" si="88"/>
        <v>8.2182626769866509</v>
      </c>
      <c r="AS198" s="24">
        <f t="shared" si="95"/>
        <v>-8.8667398631031134</v>
      </c>
      <c r="AT198" s="24">
        <f t="shared" si="96"/>
        <v>52.618231335356612</v>
      </c>
    </row>
    <row r="199" spans="4:46">
      <c r="D199" s="13"/>
      <c r="R199" s="12"/>
      <c r="S199" s="12"/>
      <c r="T199" s="12"/>
      <c r="U199" s="12"/>
      <c r="V199" s="12"/>
      <c r="W199" s="12"/>
      <c r="X199" s="12"/>
      <c r="Y199" s="24">
        <v>197</v>
      </c>
      <c r="Z199" s="24">
        <f t="shared" si="80"/>
        <v>182930.59232265301</v>
      </c>
      <c r="AA199" s="24" t="str">
        <f t="shared" si="89"/>
        <v>1149386.80991535i</v>
      </c>
      <c r="AB199" s="24">
        <f t="shared" si="81"/>
        <v>8.870967741935484</v>
      </c>
      <c r="AD199" s="24" t="str">
        <f t="shared" si="82"/>
        <v>0.00358750724457091-0.0197825273878314i</v>
      </c>
      <c r="AE199" s="24" t="str">
        <f t="shared" si="83"/>
        <v>0.815453169646446-0.422755328685467i</v>
      </c>
      <c r="AF199" s="24" t="str">
        <f t="shared" si="71"/>
        <v>-0.0384340992610033-0.124739472933513i</v>
      </c>
      <c r="AG199" s="24">
        <f t="shared" si="84"/>
        <v>0.13052630422154485</v>
      </c>
      <c r="AH199" s="24">
        <f t="shared" si="90"/>
        <v>-1.8696813224250834</v>
      </c>
      <c r="AI199" s="24">
        <f t="shared" si="79"/>
        <v>-107.12484880939576</v>
      </c>
      <c r="AJ199" s="24">
        <f t="shared" si="91"/>
        <v>-17.686039172321525</v>
      </c>
      <c r="AL199" s="24" t="str">
        <f t="shared" si="92"/>
        <v>9.5983069151397E-08-0.000309811329584067i</v>
      </c>
      <c r="AM199" s="24" t="str">
        <f t="shared" si="93"/>
        <v>9.31427260045699+22.7252109526664i</v>
      </c>
      <c r="AN199" s="24" t="str">
        <f t="shared" si="94"/>
        <v>-2.36711627570558+0.969342082953074i</v>
      </c>
      <c r="AO199" s="24">
        <f t="shared" si="85"/>
        <v>2.5579021749265665</v>
      </c>
      <c r="AP199" s="24">
        <f t="shared" si="86"/>
        <v>2.7529206604542669</v>
      </c>
      <c r="AQ199" s="24">
        <f t="shared" si="87"/>
        <v>157.73073517839666</v>
      </c>
      <c r="AR199" s="24">
        <f t="shared" si="88"/>
        <v>8.1576786237911296</v>
      </c>
      <c r="AS199" s="24">
        <f t="shared" si="95"/>
        <v>-9.5283605485303955</v>
      </c>
      <c r="AT199" s="24">
        <f t="shared" si="96"/>
        <v>50.605886369000899</v>
      </c>
    </row>
    <row r="200" spans="4:46">
      <c r="D200" s="13"/>
      <c r="R200" s="12"/>
      <c r="S200" s="12"/>
      <c r="T200" s="12"/>
      <c r="U200" s="12"/>
      <c r="V200" s="12"/>
      <c r="W200" s="12"/>
      <c r="X200" s="12"/>
      <c r="Y200" s="24">
        <v>198</v>
      </c>
      <c r="Z200" s="24">
        <f t="shared" si="80"/>
        <v>194535.31566115122</v>
      </c>
      <c r="AA200" s="24" t="str">
        <f t="shared" si="89"/>
        <v>1222301.43708969i</v>
      </c>
      <c r="AB200" s="24">
        <f t="shared" si="81"/>
        <v>8.870967741935484</v>
      </c>
      <c r="AD200" s="24" t="str">
        <f t="shared" si="82"/>
        <v>0.00354206197771066-0.0186032777194548i</v>
      </c>
      <c r="AE200" s="24" t="str">
        <f t="shared" si="83"/>
        <v>0.795371743874586-0.440499128149204i</v>
      </c>
      <c r="AF200" s="24" t="str">
        <f t="shared" si="71"/>
        <v>-0.03800822738529-0.115610623787692i</v>
      </c>
      <c r="AG200" s="24">
        <f t="shared" si="84"/>
        <v>0.1216981580861073</v>
      </c>
      <c r="AH200" s="24">
        <f t="shared" si="90"/>
        <v>-1.8884258640234493</v>
      </c>
      <c r="AI200" s="24">
        <f t="shared" si="79"/>
        <v>-108.19883193188953</v>
      </c>
      <c r="AJ200" s="24">
        <f t="shared" si="91"/>
        <v>-18.294319896219282</v>
      </c>
      <c r="AL200" s="24" t="str">
        <f t="shared" si="92"/>
        <v>8.48731675588098E-08-0.00029132998533511i</v>
      </c>
      <c r="AM200" s="24" t="str">
        <f t="shared" si="93"/>
        <v>10.2595231677311+23.7990802242296i</v>
      </c>
      <c r="AN200" s="24" t="str">
        <f t="shared" si="94"/>
        <v>-2.33109046648716+1.00410238137642i</v>
      </c>
      <c r="AO200" s="24">
        <f t="shared" si="85"/>
        <v>2.5381497897549554</v>
      </c>
      <c r="AP200" s="24">
        <f t="shared" si="86"/>
        <v>2.7348671715097437</v>
      </c>
      <c r="AQ200" s="24">
        <f t="shared" si="87"/>
        <v>156.69634645638936</v>
      </c>
      <c r="AR200" s="24">
        <f t="shared" si="88"/>
        <v>8.0903449709690438</v>
      </c>
      <c r="AS200" s="24">
        <f t="shared" si="95"/>
        <v>-10.203974925250238</v>
      </c>
      <c r="AT200" s="24">
        <f t="shared" si="96"/>
        <v>48.497514524499834</v>
      </c>
    </row>
    <row r="201" spans="4:46">
      <c r="D201" s="13"/>
      <c r="R201" s="12"/>
      <c r="S201" s="12"/>
      <c r="T201" s="12"/>
      <c r="U201" s="12"/>
      <c r="V201" s="12"/>
      <c r="W201" s="12"/>
      <c r="X201" s="12"/>
      <c r="Y201" s="24">
        <v>199</v>
      </c>
      <c r="Z201" s="24">
        <f t="shared" si="80"/>
        <v>206876.21768935499</v>
      </c>
      <c r="AA201" s="24" t="str">
        <f t="shared" si="89"/>
        <v>1299841.61139064i</v>
      </c>
      <c r="AB201" s="24">
        <f t="shared" si="81"/>
        <v>8.870967741935484</v>
      </c>
      <c r="AD201" s="24" t="str">
        <f t="shared" si="82"/>
        <v>0.00350187348169739-0.0174942315885845i</v>
      </c>
      <c r="AE201" s="24" t="str">
        <f t="shared" si="83"/>
        <v>0.773587783917834-0.457971451912416i</v>
      </c>
      <c r="AF201" s="24" t="str">
        <f t="shared" si="71"/>
        <v>-0.0374808131103746-0.106989621566685i</v>
      </c>
      <c r="AG201" s="24">
        <f t="shared" si="84"/>
        <v>0.11336485555231524</v>
      </c>
      <c r="AH201" s="24">
        <f t="shared" si="90"/>
        <v>-1.9077579346387128</v>
      </c>
      <c r="AI201" s="24">
        <f t="shared" si="79"/>
        <v>-109.30647798739301</v>
      </c>
      <c r="AJ201" s="24">
        <f t="shared" si="91"/>
        <v>-18.910431220205474</v>
      </c>
      <c r="AL201" s="24" t="str">
        <f t="shared" si="92"/>
        <v>7.50492209291655E-08-0.000273951118444112i</v>
      </c>
      <c r="AM201" s="24" t="str">
        <f t="shared" si="93"/>
        <v>11.294428704431+24.880648001524i</v>
      </c>
      <c r="AN201" s="24" t="str">
        <f t="shared" si="94"/>
        <v>-2.2916484675355+1.03952371956969i</v>
      </c>
      <c r="AO201" s="24">
        <f t="shared" si="85"/>
        <v>2.5163986691909148</v>
      </c>
      <c r="AP201" s="24">
        <f t="shared" si="86"/>
        <v>2.7157374294054195</v>
      </c>
      <c r="AQ201" s="24">
        <f t="shared" si="87"/>
        <v>155.60029297063789</v>
      </c>
      <c r="AR201" s="24">
        <f t="shared" si="88"/>
        <v>8.0155889366876423</v>
      </c>
      <c r="AS201" s="24">
        <f t="shared" si="95"/>
        <v>-10.894842283517832</v>
      </c>
      <c r="AT201" s="24">
        <f t="shared" si="96"/>
        <v>46.293814983244886</v>
      </c>
    </row>
    <row r="202" spans="4:46">
      <c r="D202" s="13"/>
      <c r="R202" s="12"/>
      <c r="S202" s="12"/>
      <c r="T202" s="12"/>
      <c r="U202" s="12"/>
      <c r="V202" s="12"/>
      <c r="W202" s="12"/>
      <c r="X202" s="12"/>
      <c r="Y202" s="24">
        <v>200</v>
      </c>
      <c r="Z202" s="24">
        <f t="shared" si="80"/>
        <v>219999.99999999985</v>
      </c>
      <c r="AA202" s="24" t="str">
        <f t="shared" si="89"/>
        <v>1382300.76757951i</v>
      </c>
      <c r="AB202" s="24">
        <f t="shared" si="81"/>
        <v>8.870967741935484</v>
      </c>
      <c r="AD202" s="24" t="str">
        <f t="shared" si="82"/>
        <v>0.00346633404574477-0.0164512251665465i</v>
      </c>
      <c r="AE202" s="24" t="str">
        <f t="shared" si="83"/>
        <v>0.750061937362051-0.474993113289269i</v>
      </c>
      <c r="AF202" s="24" t="str">
        <f t="shared" si="71"/>
        <v>-0.0368545934934702-0.0988531723265279i</v>
      </c>
      <c r="AG202" s="24">
        <f t="shared" si="84"/>
        <v>0.10549981393626795</v>
      </c>
      <c r="AH202" s="24">
        <f t="shared" si="90"/>
        <v>-1.9276557615943208</v>
      </c>
      <c r="AI202" s="24">
        <f t="shared" si="79"/>
        <v>-110.44653949343098</v>
      </c>
      <c r="AJ202" s="24">
        <f t="shared" si="91"/>
        <v>-19.53496612609797</v>
      </c>
      <c r="AL202" s="24" t="str">
        <f t="shared" si="92"/>
        <v>6.63623818654734E-08-0.0002576089623082i</v>
      </c>
      <c r="AM202" s="24" t="str">
        <f t="shared" si="93"/>
        <v>12.4234009957871+25.9622749904252i</v>
      </c>
      <c r="AN202" s="24" t="str">
        <f t="shared" si="94"/>
        <v>-2.24862210258739+1.07529304304703i</v>
      </c>
      <c r="AO202" s="24">
        <f t="shared" si="85"/>
        <v>2.4925000478776078</v>
      </c>
      <c r="AP202" s="24">
        <f t="shared" si="86"/>
        <v>2.6955359371835494</v>
      </c>
      <c r="AQ202" s="24">
        <f t="shared" si="87"/>
        <v>154.44283272645839</v>
      </c>
      <c r="AR202" s="24">
        <f t="shared" si="88"/>
        <v>7.9327035065182443</v>
      </c>
      <c r="AS202" s="24">
        <f t="shared" si="95"/>
        <v>-11.602262619579726</v>
      </c>
      <c r="AT202" s="24">
        <f t="shared" si="96"/>
        <v>43.996293233027416</v>
      </c>
    </row>
    <row r="203" spans="4:46">
      <c r="D203" s="13"/>
      <c r="R203" s="12"/>
      <c r="S203" s="12"/>
      <c r="T203" s="12"/>
      <c r="U203" s="12"/>
      <c r="V203" s="12"/>
      <c r="W203" s="12"/>
      <c r="X203" s="12"/>
    </row>
    <row r="204" spans="4:46">
      <c r="D204" s="13"/>
    </row>
    <row r="205" spans="4:46">
      <c r="D205" s="13"/>
    </row>
    <row r="206" spans="4:46">
      <c r="D206" s="13"/>
    </row>
    <row r="207" spans="4:46">
      <c r="D207" s="13"/>
    </row>
    <row r="208" spans="4:46">
      <c r="D208" s="13"/>
    </row>
    <row r="209" spans="4:4">
      <c r="D209" s="13"/>
    </row>
    <row r="210" spans="4:4">
      <c r="D210" s="13"/>
    </row>
    <row r="211" spans="4:4">
      <c r="D211" s="13"/>
    </row>
    <row r="212" spans="4:4">
      <c r="D212" s="13"/>
    </row>
    <row r="213" spans="4:4">
      <c r="D213" s="13"/>
    </row>
    <row r="214" spans="4:4">
      <c r="D214" s="13"/>
    </row>
  </sheetData>
  <sheetProtection password="F725" sheet="1" objects="1" scenarios="1" selectLockedCells="1"/>
  <mergeCells count="2">
    <mergeCell ref="A49:D49"/>
    <mergeCell ref="A26:E26"/>
  </mergeCells>
  <conditionalFormatting sqref="E5">
    <cfRule type="notContainsBlanks" dxfId="0" priority="1">
      <formula>LEN(TRIM(E5))&gt;0</formula>
    </cfRule>
  </conditionalFormatting>
  <pageMargins left="0.7" right="0.7" top="0.75" bottom="0.75" header="0.3" footer="0.3"/>
  <pageSetup orientation="portrait" r:id="rId1"/>
  <ignoredErrors>
    <ignoredError sqref="B17:B18 B20 B23 B29 B37:B3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49"/>
  <sheetViews>
    <sheetView zoomScale="80" zoomScaleNormal="80" workbookViewId="0">
      <selection activeCell="H5" sqref="H5"/>
    </sheetView>
  </sheetViews>
  <sheetFormatPr defaultRowHeight="15"/>
  <cols>
    <col min="1" max="1" width="2.85546875" style="53" customWidth="1"/>
    <col min="2" max="2" width="12.85546875" style="53" customWidth="1"/>
    <col min="3" max="3" width="18" style="53" customWidth="1"/>
    <col min="4" max="4" width="9.85546875" style="53" customWidth="1"/>
    <col min="5" max="5" width="11" style="53" hidden="1" customWidth="1"/>
    <col min="6" max="8" width="7.5703125" style="53" customWidth="1"/>
    <col min="9" max="9" width="6.7109375" style="53" bestFit="1" customWidth="1"/>
    <col min="10" max="18" width="6" style="53" bestFit="1" customWidth="1"/>
    <col min="19" max="256" width="9.140625" style="53"/>
    <col min="257" max="257" width="2.85546875" style="53" customWidth="1"/>
    <col min="258" max="258" width="12.85546875" style="53" customWidth="1"/>
    <col min="259" max="259" width="18" style="53" customWidth="1"/>
    <col min="260" max="260" width="9.85546875" style="53" customWidth="1"/>
    <col min="261" max="261" width="0" style="53" hidden="1" customWidth="1"/>
    <col min="262" max="264" width="7.5703125" style="53" customWidth="1"/>
    <col min="265" max="265" width="6.7109375" style="53" bestFit="1" customWidth="1"/>
    <col min="266" max="274" width="6" style="53" bestFit="1" customWidth="1"/>
    <col min="275" max="512" width="9.140625" style="53"/>
    <col min="513" max="513" width="2.85546875" style="53" customWidth="1"/>
    <col min="514" max="514" width="12.85546875" style="53" customWidth="1"/>
    <col min="515" max="515" width="18" style="53" customWidth="1"/>
    <col min="516" max="516" width="9.85546875" style="53" customWidth="1"/>
    <col min="517" max="517" width="0" style="53" hidden="1" customWidth="1"/>
    <col min="518" max="520" width="7.5703125" style="53" customWidth="1"/>
    <col min="521" max="521" width="6.7109375" style="53" bestFit="1" customWidth="1"/>
    <col min="522" max="530" width="6" style="53" bestFit="1" customWidth="1"/>
    <col min="531" max="768" width="9.140625" style="53"/>
    <col min="769" max="769" width="2.85546875" style="53" customWidth="1"/>
    <col min="770" max="770" width="12.85546875" style="53" customWidth="1"/>
    <col min="771" max="771" width="18" style="53" customWidth="1"/>
    <col min="772" max="772" width="9.85546875" style="53" customWidth="1"/>
    <col min="773" max="773" width="0" style="53" hidden="1" customWidth="1"/>
    <col min="774" max="776" width="7.5703125" style="53" customWidth="1"/>
    <col min="777" max="777" width="6.7109375" style="53" bestFit="1" customWidth="1"/>
    <col min="778" max="786" width="6" style="53" bestFit="1" customWidth="1"/>
    <col min="787" max="1024" width="9.140625" style="53"/>
    <col min="1025" max="1025" width="2.85546875" style="53" customWidth="1"/>
    <col min="1026" max="1026" width="12.85546875" style="53" customWidth="1"/>
    <col min="1027" max="1027" width="18" style="53" customWidth="1"/>
    <col min="1028" max="1028" width="9.85546875" style="53" customWidth="1"/>
    <col min="1029" max="1029" width="0" style="53" hidden="1" customWidth="1"/>
    <col min="1030" max="1032" width="7.5703125" style="53" customWidth="1"/>
    <col min="1033" max="1033" width="6.7109375" style="53" bestFit="1" customWidth="1"/>
    <col min="1034" max="1042" width="6" style="53" bestFit="1" customWidth="1"/>
    <col min="1043" max="1280" width="9.140625" style="53"/>
    <col min="1281" max="1281" width="2.85546875" style="53" customWidth="1"/>
    <col min="1282" max="1282" width="12.85546875" style="53" customWidth="1"/>
    <col min="1283" max="1283" width="18" style="53" customWidth="1"/>
    <col min="1284" max="1284" width="9.85546875" style="53" customWidth="1"/>
    <col min="1285" max="1285" width="0" style="53" hidden="1" customWidth="1"/>
    <col min="1286" max="1288" width="7.5703125" style="53" customWidth="1"/>
    <col min="1289" max="1289" width="6.7109375" style="53" bestFit="1" customWidth="1"/>
    <col min="1290" max="1298" width="6" style="53" bestFit="1" customWidth="1"/>
    <col min="1299" max="1536" width="9.140625" style="53"/>
    <col min="1537" max="1537" width="2.85546875" style="53" customWidth="1"/>
    <col min="1538" max="1538" width="12.85546875" style="53" customWidth="1"/>
    <col min="1539" max="1539" width="18" style="53" customWidth="1"/>
    <col min="1540" max="1540" width="9.85546875" style="53" customWidth="1"/>
    <col min="1541" max="1541" width="0" style="53" hidden="1" customWidth="1"/>
    <col min="1542" max="1544" width="7.5703125" style="53" customWidth="1"/>
    <col min="1545" max="1545" width="6.7109375" style="53" bestFit="1" customWidth="1"/>
    <col min="1546" max="1554" width="6" style="53" bestFit="1" customWidth="1"/>
    <col min="1555" max="1792" width="9.140625" style="53"/>
    <col min="1793" max="1793" width="2.85546875" style="53" customWidth="1"/>
    <col min="1794" max="1794" width="12.85546875" style="53" customWidth="1"/>
    <col min="1795" max="1795" width="18" style="53" customWidth="1"/>
    <col min="1796" max="1796" width="9.85546875" style="53" customWidth="1"/>
    <col min="1797" max="1797" width="0" style="53" hidden="1" customWidth="1"/>
    <col min="1798" max="1800" width="7.5703125" style="53" customWidth="1"/>
    <col min="1801" max="1801" width="6.7109375" style="53" bestFit="1" customWidth="1"/>
    <col min="1802" max="1810" width="6" style="53" bestFit="1" customWidth="1"/>
    <col min="1811" max="2048" width="9.140625" style="53"/>
    <col min="2049" max="2049" width="2.85546875" style="53" customWidth="1"/>
    <col min="2050" max="2050" width="12.85546875" style="53" customWidth="1"/>
    <col min="2051" max="2051" width="18" style="53" customWidth="1"/>
    <col min="2052" max="2052" width="9.85546875" style="53" customWidth="1"/>
    <col min="2053" max="2053" width="0" style="53" hidden="1" customWidth="1"/>
    <col min="2054" max="2056" width="7.5703125" style="53" customWidth="1"/>
    <col min="2057" max="2057" width="6.7109375" style="53" bestFit="1" customWidth="1"/>
    <col min="2058" max="2066" width="6" style="53" bestFit="1" customWidth="1"/>
    <col min="2067" max="2304" width="9.140625" style="53"/>
    <col min="2305" max="2305" width="2.85546875" style="53" customWidth="1"/>
    <col min="2306" max="2306" width="12.85546875" style="53" customWidth="1"/>
    <col min="2307" max="2307" width="18" style="53" customWidth="1"/>
    <col min="2308" max="2308" width="9.85546875" style="53" customWidth="1"/>
    <col min="2309" max="2309" width="0" style="53" hidden="1" customWidth="1"/>
    <col min="2310" max="2312" width="7.5703125" style="53" customWidth="1"/>
    <col min="2313" max="2313" width="6.7109375" style="53" bestFit="1" customWidth="1"/>
    <col min="2314" max="2322" width="6" style="53" bestFit="1" customWidth="1"/>
    <col min="2323" max="2560" width="9.140625" style="53"/>
    <col min="2561" max="2561" width="2.85546875" style="53" customWidth="1"/>
    <col min="2562" max="2562" width="12.85546875" style="53" customWidth="1"/>
    <col min="2563" max="2563" width="18" style="53" customWidth="1"/>
    <col min="2564" max="2564" width="9.85546875" style="53" customWidth="1"/>
    <col min="2565" max="2565" width="0" style="53" hidden="1" customWidth="1"/>
    <col min="2566" max="2568" width="7.5703125" style="53" customWidth="1"/>
    <col min="2569" max="2569" width="6.7109375" style="53" bestFit="1" customWidth="1"/>
    <col min="2570" max="2578" width="6" style="53" bestFit="1" customWidth="1"/>
    <col min="2579" max="2816" width="9.140625" style="53"/>
    <col min="2817" max="2817" width="2.85546875" style="53" customWidth="1"/>
    <col min="2818" max="2818" width="12.85546875" style="53" customWidth="1"/>
    <col min="2819" max="2819" width="18" style="53" customWidth="1"/>
    <col min="2820" max="2820" width="9.85546875" style="53" customWidth="1"/>
    <col min="2821" max="2821" width="0" style="53" hidden="1" customWidth="1"/>
    <col min="2822" max="2824" width="7.5703125" style="53" customWidth="1"/>
    <col min="2825" max="2825" width="6.7109375" style="53" bestFit="1" customWidth="1"/>
    <col min="2826" max="2834" width="6" style="53" bestFit="1" customWidth="1"/>
    <col min="2835" max="3072" width="9.140625" style="53"/>
    <col min="3073" max="3073" width="2.85546875" style="53" customWidth="1"/>
    <col min="3074" max="3074" width="12.85546875" style="53" customWidth="1"/>
    <col min="3075" max="3075" width="18" style="53" customWidth="1"/>
    <col min="3076" max="3076" width="9.85546875" style="53" customWidth="1"/>
    <col min="3077" max="3077" width="0" style="53" hidden="1" customWidth="1"/>
    <col min="3078" max="3080" width="7.5703125" style="53" customWidth="1"/>
    <col min="3081" max="3081" width="6.7109375" style="53" bestFit="1" customWidth="1"/>
    <col min="3082" max="3090" width="6" style="53" bestFit="1" customWidth="1"/>
    <col min="3091" max="3328" width="9.140625" style="53"/>
    <col min="3329" max="3329" width="2.85546875" style="53" customWidth="1"/>
    <col min="3330" max="3330" width="12.85546875" style="53" customWidth="1"/>
    <col min="3331" max="3331" width="18" style="53" customWidth="1"/>
    <col min="3332" max="3332" width="9.85546875" style="53" customWidth="1"/>
    <col min="3333" max="3333" width="0" style="53" hidden="1" customWidth="1"/>
    <col min="3334" max="3336" width="7.5703125" style="53" customWidth="1"/>
    <col min="3337" max="3337" width="6.7109375" style="53" bestFit="1" customWidth="1"/>
    <col min="3338" max="3346" width="6" style="53" bestFit="1" customWidth="1"/>
    <col min="3347" max="3584" width="9.140625" style="53"/>
    <col min="3585" max="3585" width="2.85546875" style="53" customWidth="1"/>
    <col min="3586" max="3586" width="12.85546875" style="53" customWidth="1"/>
    <col min="3587" max="3587" width="18" style="53" customWidth="1"/>
    <col min="3588" max="3588" width="9.85546875" style="53" customWidth="1"/>
    <col min="3589" max="3589" width="0" style="53" hidden="1" customWidth="1"/>
    <col min="3590" max="3592" width="7.5703125" style="53" customWidth="1"/>
    <col min="3593" max="3593" width="6.7109375" style="53" bestFit="1" customWidth="1"/>
    <col min="3594" max="3602" width="6" style="53" bestFit="1" customWidth="1"/>
    <col min="3603" max="3840" width="9.140625" style="53"/>
    <col min="3841" max="3841" width="2.85546875" style="53" customWidth="1"/>
    <col min="3842" max="3842" width="12.85546875" style="53" customWidth="1"/>
    <col min="3843" max="3843" width="18" style="53" customWidth="1"/>
    <col min="3844" max="3844" width="9.85546875" style="53" customWidth="1"/>
    <col min="3845" max="3845" width="0" style="53" hidden="1" customWidth="1"/>
    <col min="3846" max="3848" width="7.5703125" style="53" customWidth="1"/>
    <col min="3849" max="3849" width="6.7109375" style="53" bestFit="1" customWidth="1"/>
    <col min="3850" max="3858" width="6" style="53" bestFit="1" customWidth="1"/>
    <col min="3859" max="4096" width="9.140625" style="53"/>
    <col min="4097" max="4097" width="2.85546875" style="53" customWidth="1"/>
    <col min="4098" max="4098" width="12.85546875" style="53" customWidth="1"/>
    <col min="4099" max="4099" width="18" style="53" customWidth="1"/>
    <col min="4100" max="4100" width="9.85546875" style="53" customWidth="1"/>
    <col min="4101" max="4101" width="0" style="53" hidden="1" customWidth="1"/>
    <col min="4102" max="4104" width="7.5703125" style="53" customWidth="1"/>
    <col min="4105" max="4105" width="6.7109375" style="53" bestFit="1" customWidth="1"/>
    <col min="4106" max="4114" width="6" style="53" bestFit="1" customWidth="1"/>
    <col min="4115" max="4352" width="9.140625" style="53"/>
    <col min="4353" max="4353" width="2.85546875" style="53" customWidth="1"/>
    <col min="4354" max="4354" width="12.85546875" style="53" customWidth="1"/>
    <col min="4355" max="4355" width="18" style="53" customWidth="1"/>
    <col min="4356" max="4356" width="9.85546875" style="53" customWidth="1"/>
    <col min="4357" max="4357" width="0" style="53" hidden="1" customWidth="1"/>
    <col min="4358" max="4360" width="7.5703125" style="53" customWidth="1"/>
    <col min="4361" max="4361" width="6.7109375" style="53" bestFit="1" customWidth="1"/>
    <col min="4362" max="4370" width="6" style="53" bestFit="1" customWidth="1"/>
    <col min="4371" max="4608" width="9.140625" style="53"/>
    <col min="4609" max="4609" width="2.85546875" style="53" customWidth="1"/>
    <col min="4610" max="4610" width="12.85546875" style="53" customWidth="1"/>
    <col min="4611" max="4611" width="18" style="53" customWidth="1"/>
    <col min="4612" max="4612" width="9.85546875" style="53" customWidth="1"/>
    <col min="4613" max="4613" width="0" style="53" hidden="1" customWidth="1"/>
    <col min="4614" max="4616" width="7.5703125" style="53" customWidth="1"/>
    <col min="4617" max="4617" width="6.7109375" style="53" bestFit="1" customWidth="1"/>
    <col min="4618" max="4626" width="6" style="53" bestFit="1" customWidth="1"/>
    <col min="4627" max="4864" width="9.140625" style="53"/>
    <col min="4865" max="4865" width="2.85546875" style="53" customWidth="1"/>
    <col min="4866" max="4866" width="12.85546875" style="53" customWidth="1"/>
    <col min="4867" max="4867" width="18" style="53" customWidth="1"/>
    <col min="4868" max="4868" width="9.85546875" style="53" customWidth="1"/>
    <col min="4869" max="4869" width="0" style="53" hidden="1" customWidth="1"/>
    <col min="4870" max="4872" width="7.5703125" style="53" customWidth="1"/>
    <col min="4873" max="4873" width="6.7109375" style="53" bestFit="1" customWidth="1"/>
    <col min="4874" max="4882" width="6" style="53" bestFit="1" customWidth="1"/>
    <col min="4883" max="5120" width="9.140625" style="53"/>
    <col min="5121" max="5121" width="2.85546875" style="53" customWidth="1"/>
    <col min="5122" max="5122" width="12.85546875" style="53" customWidth="1"/>
    <col min="5123" max="5123" width="18" style="53" customWidth="1"/>
    <col min="5124" max="5124" width="9.85546875" style="53" customWidth="1"/>
    <col min="5125" max="5125" width="0" style="53" hidden="1" customWidth="1"/>
    <col min="5126" max="5128" width="7.5703125" style="53" customWidth="1"/>
    <col min="5129" max="5129" width="6.7109375" style="53" bestFit="1" customWidth="1"/>
    <col min="5130" max="5138" width="6" style="53" bestFit="1" customWidth="1"/>
    <col min="5139" max="5376" width="9.140625" style="53"/>
    <col min="5377" max="5377" width="2.85546875" style="53" customWidth="1"/>
    <col min="5378" max="5378" width="12.85546875" style="53" customWidth="1"/>
    <col min="5379" max="5379" width="18" style="53" customWidth="1"/>
    <col min="5380" max="5380" width="9.85546875" style="53" customWidth="1"/>
    <col min="5381" max="5381" width="0" style="53" hidden="1" customWidth="1"/>
    <col min="5382" max="5384" width="7.5703125" style="53" customWidth="1"/>
    <col min="5385" max="5385" width="6.7109375" style="53" bestFit="1" customWidth="1"/>
    <col min="5386" max="5394" width="6" style="53" bestFit="1" customWidth="1"/>
    <col min="5395" max="5632" width="9.140625" style="53"/>
    <col min="5633" max="5633" width="2.85546875" style="53" customWidth="1"/>
    <col min="5634" max="5634" width="12.85546875" style="53" customWidth="1"/>
    <col min="5635" max="5635" width="18" style="53" customWidth="1"/>
    <col min="5636" max="5636" width="9.85546875" style="53" customWidth="1"/>
    <col min="5637" max="5637" width="0" style="53" hidden="1" customWidth="1"/>
    <col min="5638" max="5640" width="7.5703125" style="53" customWidth="1"/>
    <col min="5641" max="5641" width="6.7109375" style="53" bestFit="1" customWidth="1"/>
    <col min="5642" max="5650" width="6" style="53" bestFit="1" customWidth="1"/>
    <col min="5651" max="5888" width="9.140625" style="53"/>
    <col min="5889" max="5889" width="2.85546875" style="53" customWidth="1"/>
    <col min="5890" max="5890" width="12.85546875" style="53" customWidth="1"/>
    <col min="5891" max="5891" width="18" style="53" customWidth="1"/>
    <col min="5892" max="5892" width="9.85546875" style="53" customWidth="1"/>
    <col min="5893" max="5893" width="0" style="53" hidden="1" customWidth="1"/>
    <col min="5894" max="5896" width="7.5703125" style="53" customWidth="1"/>
    <col min="5897" max="5897" width="6.7109375" style="53" bestFit="1" customWidth="1"/>
    <col min="5898" max="5906" width="6" style="53" bestFit="1" customWidth="1"/>
    <col min="5907" max="6144" width="9.140625" style="53"/>
    <col min="6145" max="6145" width="2.85546875" style="53" customWidth="1"/>
    <col min="6146" max="6146" width="12.85546875" style="53" customWidth="1"/>
    <col min="6147" max="6147" width="18" style="53" customWidth="1"/>
    <col min="6148" max="6148" width="9.85546875" style="53" customWidth="1"/>
    <col min="6149" max="6149" width="0" style="53" hidden="1" customWidth="1"/>
    <col min="6150" max="6152" width="7.5703125" style="53" customWidth="1"/>
    <col min="6153" max="6153" width="6.7109375" style="53" bestFit="1" customWidth="1"/>
    <col min="6154" max="6162" width="6" style="53" bestFit="1" customWidth="1"/>
    <col min="6163" max="6400" width="9.140625" style="53"/>
    <col min="6401" max="6401" width="2.85546875" style="53" customWidth="1"/>
    <col min="6402" max="6402" width="12.85546875" style="53" customWidth="1"/>
    <col min="6403" max="6403" width="18" style="53" customWidth="1"/>
    <col min="6404" max="6404" width="9.85546875" style="53" customWidth="1"/>
    <col min="6405" max="6405" width="0" style="53" hidden="1" customWidth="1"/>
    <col min="6406" max="6408" width="7.5703125" style="53" customWidth="1"/>
    <col min="6409" max="6409" width="6.7109375" style="53" bestFit="1" customWidth="1"/>
    <col min="6410" max="6418" width="6" style="53" bestFit="1" customWidth="1"/>
    <col min="6419" max="6656" width="9.140625" style="53"/>
    <col min="6657" max="6657" width="2.85546875" style="53" customWidth="1"/>
    <col min="6658" max="6658" width="12.85546875" style="53" customWidth="1"/>
    <col min="6659" max="6659" width="18" style="53" customWidth="1"/>
    <col min="6660" max="6660" width="9.85546875" style="53" customWidth="1"/>
    <col min="6661" max="6661" width="0" style="53" hidden="1" customWidth="1"/>
    <col min="6662" max="6664" width="7.5703125" style="53" customWidth="1"/>
    <col min="6665" max="6665" width="6.7109375" style="53" bestFit="1" customWidth="1"/>
    <col min="6666" max="6674" width="6" style="53" bestFit="1" customWidth="1"/>
    <col min="6675" max="6912" width="9.140625" style="53"/>
    <col min="6913" max="6913" width="2.85546875" style="53" customWidth="1"/>
    <col min="6914" max="6914" width="12.85546875" style="53" customWidth="1"/>
    <col min="6915" max="6915" width="18" style="53" customWidth="1"/>
    <col min="6916" max="6916" width="9.85546875" style="53" customWidth="1"/>
    <col min="6917" max="6917" width="0" style="53" hidden="1" customWidth="1"/>
    <col min="6918" max="6920" width="7.5703125" style="53" customWidth="1"/>
    <col min="6921" max="6921" width="6.7109375" style="53" bestFit="1" customWidth="1"/>
    <col min="6922" max="6930" width="6" style="53" bestFit="1" customWidth="1"/>
    <col min="6931" max="7168" width="9.140625" style="53"/>
    <col min="7169" max="7169" width="2.85546875" style="53" customWidth="1"/>
    <col min="7170" max="7170" width="12.85546875" style="53" customWidth="1"/>
    <col min="7171" max="7171" width="18" style="53" customWidth="1"/>
    <col min="7172" max="7172" width="9.85546875" style="53" customWidth="1"/>
    <col min="7173" max="7173" width="0" style="53" hidden="1" customWidth="1"/>
    <col min="7174" max="7176" width="7.5703125" style="53" customWidth="1"/>
    <col min="7177" max="7177" width="6.7109375" style="53" bestFit="1" customWidth="1"/>
    <col min="7178" max="7186" width="6" style="53" bestFit="1" customWidth="1"/>
    <col min="7187" max="7424" width="9.140625" style="53"/>
    <col min="7425" max="7425" width="2.85546875" style="53" customWidth="1"/>
    <col min="7426" max="7426" width="12.85546875" style="53" customWidth="1"/>
    <col min="7427" max="7427" width="18" style="53" customWidth="1"/>
    <col min="7428" max="7428" width="9.85546875" style="53" customWidth="1"/>
    <col min="7429" max="7429" width="0" style="53" hidden="1" customWidth="1"/>
    <col min="7430" max="7432" width="7.5703125" style="53" customWidth="1"/>
    <col min="7433" max="7433" width="6.7109375" style="53" bestFit="1" customWidth="1"/>
    <col min="7434" max="7442" width="6" style="53" bestFit="1" customWidth="1"/>
    <col min="7443" max="7680" width="9.140625" style="53"/>
    <col min="7681" max="7681" width="2.85546875" style="53" customWidth="1"/>
    <col min="7682" max="7682" width="12.85546875" style="53" customWidth="1"/>
    <col min="7683" max="7683" width="18" style="53" customWidth="1"/>
    <col min="7684" max="7684" width="9.85546875" style="53" customWidth="1"/>
    <col min="7685" max="7685" width="0" style="53" hidden="1" customWidth="1"/>
    <col min="7686" max="7688" width="7.5703125" style="53" customWidth="1"/>
    <col min="7689" max="7689" width="6.7109375" style="53" bestFit="1" customWidth="1"/>
    <col min="7690" max="7698" width="6" style="53" bestFit="1" customWidth="1"/>
    <col min="7699" max="7936" width="9.140625" style="53"/>
    <col min="7937" max="7937" width="2.85546875" style="53" customWidth="1"/>
    <col min="7938" max="7938" width="12.85546875" style="53" customWidth="1"/>
    <col min="7939" max="7939" width="18" style="53" customWidth="1"/>
    <col min="7940" max="7940" width="9.85546875" style="53" customWidth="1"/>
    <col min="7941" max="7941" width="0" style="53" hidden="1" customWidth="1"/>
    <col min="7942" max="7944" width="7.5703125" style="53" customWidth="1"/>
    <col min="7945" max="7945" width="6.7109375" style="53" bestFit="1" customWidth="1"/>
    <col min="7946" max="7954" width="6" style="53" bestFit="1" customWidth="1"/>
    <col min="7955" max="8192" width="9.140625" style="53"/>
    <col min="8193" max="8193" width="2.85546875" style="53" customWidth="1"/>
    <col min="8194" max="8194" width="12.85546875" style="53" customWidth="1"/>
    <col min="8195" max="8195" width="18" style="53" customWidth="1"/>
    <col min="8196" max="8196" width="9.85546875" style="53" customWidth="1"/>
    <col min="8197" max="8197" width="0" style="53" hidden="1" customWidth="1"/>
    <col min="8198" max="8200" width="7.5703125" style="53" customWidth="1"/>
    <col min="8201" max="8201" width="6.7109375" style="53" bestFit="1" customWidth="1"/>
    <col min="8202" max="8210" width="6" style="53" bestFit="1" customWidth="1"/>
    <col min="8211" max="8448" width="9.140625" style="53"/>
    <col min="8449" max="8449" width="2.85546875" style="53" customWidth="1"/>
    <col min="8450" max="8450" width="12.85546875" style="53" customWidth="1"/>
    <col min="8451" max="8451" width="18" style="53" customWidth="1"/>
    <col min="8452" max="8452" width="9.85546875" style="53" customWidth="1"/>
    <col min="8453" max="8453" width="0" style="53" hidden="1" customWidth="1"/>
    <col min="8454" max="8456" width="7.5703125" style="53" customWidth="1"/>
    <col min="8457" max="8457" width="6.7109375" style="53" bestFit="1" customWidth="1"/>
    <col min="8458" max="8466" width="6" style="53" bestFit="1" customWidth="1"/>
    <col min="8467" max="8704" width="9.140625" style="53"/>
    <col min="8705" max="8705" width="2.85546875" style="53" customWidth="1"/>
    <col min="8706" max="8706" width="12.85546875" style="53" customWidth="1"/>
    <col min="8707" max="8707" width="18" style="53" customWidth="1"/>
    <col min="8708" max="8708" width="9.85546875" style="53" customWidth="1"/>
    <col min="8709" max="8709" width="0" style="53" hidden="1" customWidth="1"/>
    <col min="8710" max="8712" width="7.5703125" style="53" customWidth="1"/>
    <col min="8713" max="8713" width="6.7109375" style="53" bestFit="1" customWidth="1"/>
    <col min="8714" max="8722" width="6" style="53" bestFit="1" customWidth="1"/>
    <col min="8723" max="8960" width="9.140625" style="53"/>
    <col min="8961" max="8961" width="2.85546875" style="53" customWidth="1"/>
    <col min="8962" max="8962" width="12.85546875" style="53" customWidth="1"/>
    <col min="8963" max="8963" width="18" style="53" customWidth="1"/>
    <col min="8964" max="8964" width="9.85546875" style="53" customWidth="1"/>
    <col min="8965" max="8965" width="0" style="53" hidden="1" customWidth="1"/>
    <col min="8966" max="8968" width="7.5703125" style="53" customWidth="1"/>
    <col min="8969" max="8969" width="6.7109375" style="53" bestFit="1" customWidth="1"/>
    <col min="8970" max="8978" width="6" style="53" bestFit="1" customWidth="1"/>
    <col min="8979" max="9216" width="9.140625" style="53"/>
    <col min="9217" max="9217" width="2.85546875" style="53" customWidth="1"/>
    <col min="9218" max="9218" width="12.85546875" style="53" customWidth="1"/>
    <col min="9219" max="9219" width="18" style="53" customWidth="1"/>
    <col min="9220" max="9220" width="9.85546875" style="53" customWidth="1"/>
    <col min="9221" max="9221" width="0" style="53" hidden="1" customWidth="1"/>
    <col min="9222" max="9224" width="7.5703125" style="53" customWidth="1"/>
    <col min="9225" max="9225" width="6.7109375" style="53" bestFit="1" customWidth="1"/>
    <col min="9226" max="9234" width="6" style="53" bestFit="1" customWidth="1"/>
    <col min="9235" max="9472" width="9.140625" style="53"/>
    <col min="9473" max="9473" width="2.85546875" style="53" customWidth="1"/>
    <col min="9474" max="9474" width="12.85546875" style="53" customWidth="1"/>
    <col min="9475" max="9475" width="18" style="53" customWidth="1"/>
    <col min="9476" max="9476" width="9.85546875" style="53" customWidth="1"/>
    <col min="9477" max="9477" width="0" style="53" hidden="1" customWidth="1"/>
    <col min="9478" max="9480" width="7.5703125" style="53" customWidth="1"/>
    <col min="9481" max="9481" width="6.7109375" style="53" bestFit="1" customWidth="1"/>
    <col min="9482" max="9490" width="6" style="53" bestFit="1" customWidth="1"/>
    <col min="9491" max="9728" width="9.140625" style="53"/>
    <col min="9729" max="9729" width="2.85546875" style="53" customWidth="1"/>
    <col min="9730" max="9730" width="12.85546875" style="53" customWidth="1"/>
    <col min="9731" max="9731" width="18" style="53" customWidth="1"/>
    <col min="9732" max="9732" width="9.85546875" style="53" customWidth="1"/>
    <col min="9733" max="9733" width="0" style="53" hidden="1" customWidth="1"/>
    <col min="9734" max="9736" width="7.5703125" style="53" customWidth="1"/>
    <col min="9737" max="9737" width="6.7109375" style="53" bestFit="1" customWidth="1"/>
    <col min="9738" max="9746" width="6" style="53" bestFit="1" customWidth="1"/>
    <col min="9747" max="9984" width="9.140625" style="53"/>
    <col min="9985" max="9985" width="2.85546875" style="53" customWidth="1"/>
    <col min="9986" max="9986" width="12.85546875" style="53" customWidth="1"/>
    <col min="9987" max="9987" width="18" style="53" customWidth="1"/>
    <col min="9988" max="9988" width="9.85546875" style="53" customWidth="1"/>
    <col min="9989" max="9989" width="0" style="53" hidden="1" customWidth="1"/>
    <col min="9990" max="9992" width="7.5703125" style="53" customWidth="1"/>
    <col min="9993" max="9993" width="6.7109375" style="53" bestFit="1" customWidth="1"/>
    <col min="9994" max="10002" width="6" style="53" bestFit="1" customWidth="1"/>
    <col min="10003" max="10240" width="9.140625" style="53"/>
    <col min="10241" max="10241" width="2.85546875" style="53" customWidth="1"/>
    <col min="10242" max="10242" width="12.85546875" style="53" customWidth="1"/>
    <col min="10243" max="10243" width="18" style="53" customWidth="1"/>
    <col min="10244" max="10244" width="9.85546875" style="53" customWidth="1"/>
    <col min="10245" max="10245" width="0" style="53" hidden="1" customWidth="1"/>
    <col min="10246" max="10248" width="7.5703125" style="53" customWidth="1"/>
    <col min="10249" max="10249" width="6.7109375" style="53" bestFit="1" customWidth="1"/>
    <col min="10250" max="10258" width="6" style="53" bestFit="1" customWidth="1"/>
    <col min="10259" max="10496" width="9.140625" style="53"/>
    <col min="10497" max="10497" width="2.85546875" style="53" customWidth="1"/>
    <col min="10498" max="10498" width="12.85546875" style="53" customWidth="1"/>
    <col min="10499" max="10499" width="18" style="53" customWidth="1"/>
    <col min="10500" max="10500" width="9.85546875" style="53" customWidth="1"/>
    <col min="10501" max="10501" width="0" style="53" hidden="1" customWidth="1"/>
    <col min="10502" max="10504" width="7.5703125" style="53" customWidth="1"/>
    <col min="10505" max="10505" width="6.7109375" style="53" bestFit="1" customWidth="1"/>
    <col min="10506" max="10514" width="6" style="53" bestFit="1" customWidth="1"/>
    <col min="10515" max="10752" width="9.140625" style="53"/>
    <col min="10753" max="10753" width="2.85546875" style="53" customWidth="1"/>
    <col min="10754" max="10754" width="12.85546875" style="53" customWidth="1"/>
    <col min="10755" max="10755" width="18" style="53" customWidth="1"/>
    <col min="10756" max="10756" width="9.85546875" style="53" customWidth="1"/>
    <col min="10757" max="10757" width="0" style="53" hidden="1" customWidth="1"/>
    <col min="10758" max="10760" width="7.5703125" style="53" customWidth="1"/>
    <col min="10761" max="10761" width="6.7109375" style="53" bestFit="1" customWidth="1"/>
    <col min="10762" max="10770" width="6" style="53" bestFit="1" customWidth="1"/>
    <col min="10771" max="11008" width="9.140625" style="53"/>
    <col min="11009" max="11009" width="2.85546875" style="53" customWidth="1"/>
    <col min="11010" max="11010" width="12.85546875" style="53" customWidth="1"/>
    <col min="11011" max="11011" width="18" style="53" customWidth="1"/>
    <col min="11012" max="11012" width="9.85546875" style="53" customWidth="1"/>
    <col min="11013" max="11013" width="0" style="53" hidden="1" customWidth="1"/>
    <col min="11014" max="11016" width="7.5703125" style="53" customWidth="1"/>
    <col min="11017" max="11017" width="6.7109375" style="53" bestFit="1" customWidth="1"/>
    <col min="11018" max="11026" width="6" style="53" bestFit="1" customWidth="1"/>
    <col min="11027" max="11264" width="9.140625" style="53"/>
    <col min="11265" max="11265" width="2.85546875" style="53" customWidth="1"/>
    <col min="11266" max="11266" width="12.85546875" style="53" customWidth="1"/>
    <col min="11267" max="11267" width="18" style="53" customWidth="1"/>
    <col min="11268" max="11268" width="9.85546875" style="53" customWidth="1"/>
    <col min="11269" max="11269" width="0" style="53" hidden="1" customWidth="1"/>
    <col min="11270" max="11272" width="7.5703125" style="53" customWidth="1"/>
    <col min="11273" max="11273" width="6.7109375" style="53" bestFit="1" customWidth="1"/>
    <col min="11274" max="11282" width="6" style="53" bestFit="1" customWidth="1"/>
    <col min="11283" max="11520" width="9.140625" style="53"/>
    <col min="11521" max="11521" width="2.85546875" style="53" customWidth="1"/>
    <col min="11522" max="11522" width="12.85546875" style="53" customWidth="1"/>
    <col min="11523" max="11523" width="18" style="53" customWidth="1"/>
    <col min="11524" max="11524" width="9.85546875" style="53" customWidth="1"/>
    <col min="11525" max="11525" width="0" style="53" hidden="1" customWidth="1"/>
    <col min="11526" max="11528" width="7.5703125" style="53" customWidth="1"/>
    <col min="11529" max="11529" width="6.7109375" style="53" bestFit="1" customWidth="1"/>
    <col min="11530" max="11538" width="6" style="53" bestFit="1" customWidth="1"/>
    <col min="11539" max="11776" width="9.140625" style="53"/>
    <col min="11777" max="11777" width="2.85546875" style="53" customWidth="1"/>
    <col min="11778" max="11778" width="12.85546875" style="53" customWidth="1"/>
    <col min="11779" max="11779" width="18" style="53" customWidth="1"/>
    <col min="11780" max="11780" width="9.85546875" style="53" customWidth="1"/>
    <col min="11781" max="11781" width="0" style="53" hidden="1" customWidth="1"/>
    <col min="11782" max="11784" width="7.5703125" style="53" customWidth="1"/>
    <col min="11785" max="11785" width="6.7109375" style="53" bestFit="1" customWidth="1"/>
    <col min="11786" max="11794" width="6" style="53" bestFit="1" customWidth="1"/>
    <col min="11795" max="12032" width="9.140625" style="53"/>
    <col min="12033" max="12033" width="2.85546875" style="53" customWidth="1"/>
    <col min="12034" max="12034" width="12.85546875" style="53" customWidth="1"/>
    <col min="12035" max="12035" width="18" style="53" customWidth="1"/>
    <col min="12036" max="12036" width="9.85546875" style="53" customWidth="1"/>
    <col min="12037" max="12037" width="0" style="53" hidden="1" customWidth="1"/>
    <col min="12038" max="12040" width="7.5703125" style="53" customWidth="1"/>
    <col min="12041" max="12041" width="6.7109375" style="53" bestFit="1" customWidth="1"/>
    <col min="12042" max="12050" width="6" style="53" bestFit="1" customWidth="1"/>
    <col min="12051" max="12288" width="9.140625" style="53"/>
    <col min="12289" max="12289" width="2.85546875" style="53" customWidth="1"/>
    <col min="12290" max="12290" width="12.85546875" style="53" customWidth="1"/>
    <col min="12291" max="12291" width="18" style="53" customWidth="1"/>
    <col min="12292" max="12292" width="9.85546875" style="53" customWidth="1"/>
    <col min="12293" max="12293" width="0" style="53" hidden="1" customWidth="1"/>
    <col min="12294" max="12296" width="7.5703125" style="53" customWidth="1"/>
    <col min="12297" max="12297" width="6.7109375" style="53" bestFit="1" customWidth="1"/>
    <col min="12298" max="12306" width="6" style="53" bestFit="1" customWidth="1"/>
    <col min="12307" max="12544" width="9.140625" style="53"/>
    <col min="12545" max="12545" width="2.85546875" style="53" customWidth="1"/>
    <col min="12546" max="12546" width="12.85546875" style="53" customWidth="1"/>
    <col min="12547" max="12547" width="18" style="53" customWidth="1"/>
    <col min="12548" max="12548" width="9.85546875" style="53" customWidth="1"/>
    <col min="12549" max="12549" width="0" style="53" hidden="1" customWidth="1"/>
    <col min="12550" max="12552" width="7.5703125" style="53" customWidth="1"/>
    <col min="12553" max="12553" width="6.7109375" style="53" bestFit="1" customWidth="1"/>
    <col min="12554" max="12562" width="6" style="53" bestFit="1" customWidth="1"/>
    <col min="12563" max="12800" width="9.140625" style="53"/>
    <col min="12801" max="12801" width="2.85546875" style="53" customWidth="1"/>
    <col min="12802" max="12802" width="12.85546875" style="53" customWidth="1"/>
    <col min="12803" max="12803" width="18" style="53" customWidth="1"/>
    <col min="12804" max="12804" width="9.85546875" style="53" customWidth="1"/>
    <col min="12805" max="12805" width="0" style="53" hidden="1" customWidth="1"/>
    <col min="12806" max="12808" width="7.5703125" style="53" customWidth="1"/>
    <col min="12809" max="12809" width="6.7109375" style="53" bestFit="1" customWidth="1"/>
    <col min="12810" max="12818" width="6" style="53" bestFit="1" customWidth="1"/>
    <col min="12819" max="13056" width="9.140625" style="53"/>
    <col min="13057" max="13057" width="2.85546875" style="53" customWidth="1"/>
    <col min="13058" max="13058" width="12.85546875" style="53" customWidth="1"/>
    <col min="13059" max="13059" width="18" style="53" customWidth="1"/>
    <col min="13060" max="13060" width="9.85546875" style="53" customWidth="1"/>
    <col min="13061" max="13061" width="0" style="53" hidden="1" customWidth="1"/>
    <col min="13062" max="13064" width="7.5703125" style="53" customWidth="1"/>
    <col min="13065" max="13065" width="6.7109375" style="53" bestFit="1" customWidth="1"/>
    <col min="13066" max="13074" width="6" style="53" bestFit="1" customWidth="1"/>
    <col min="13075" max="13312" width="9.140625" style="53"/>
    <col min="13313" max="13313" width="2.85546875" style="53" customWidth="1"/>
    <col min="13314" max="13314" width="12.85546875" style="53" customWidth="1"/>
    <col min="13315" max="13315" width="18" style="53" customWidth="1"/>
    <col min="13316" max="13316" width="9.85546875" style="53" customWidth="1"/>
    <col min="13317" max="13317" width="0" style="53" hidden="1" customWidth="1"/>
    <col min="13318" max="13320" width="7.5703125" style="53" customWidth="1"/>
    <col min="13321" max="13321" width="6.7109375" style="53" bestFit="1" customWidth="1"/>
    <col min="13322" max="13330" width="6" style="53" bestFit="1" customWidth="1"/>
    <col min="13331" max="13568" width="9.140625" style="53"/>
    <col min="13569" max="13569" width="2.85546875" style="53" customWidth="1"/>
    <col min="13570" max="13570" width="12.85546875" style="53" customWidth="1"/>
    <col min="13571" max="13571" width="18" style="53" customWidth="1"/>
    <col min="13572" max="13572" width="9.85546875" style="53" customWidth="1"/>
    <col min="13573" max="13573" width="0" style="53" hidden="1" customWidth="1"/>
    <col min="13574" max="13576" width="7.5703125" style="53" customWidth="1"/>
    <col min="13577" max="13577" width="6.7109375" style="53" bestFit="1" customWidth="1"/>
    <col min="13578" max="13586" width="6" style="53" bestFit="1" customWidth="1"/>
    <col min="13587" max="13824" width="9.140625" style="53"/>
    <col min="13825" max="13825" width="2.85546875" style="53" customWidth="1"/>
    <col min="13826" max="13826" width="12.85546875" style="53" customWidth="1"/>
    <col min="13827" max="13827" width="18" style="53" customWidth="1"/>
    <col min="13828" max="13828" width="9.85546875" style="53" customWidth="1"/>
    <col min="13829" max="13829" width="0" style="53" hidden="1" customWidth="1"/>
    <col min="13830" max="13832" width="7.5703125" style="53" customWidth="1"/>
    <col min="13833" max="13833" width="6.7109375" style="53" bestFit="1" customWidth="1"/>
    <col min="13834" max="13842" width="6" style="53" bestFit="1" customWidth="1"/>
    <col min="13843" max="14080" width="9.140625" style="53"/>
    <col min="14081" max="14081" width="2.85546875" style="53" customWidth="1"/>
    <col min="14082" max="14082" width="12.85546875" style="53" customWidth="1"/>
    <col min="14083" max="14083" width="18" style="53" customWidth="1"/>
    <col min="14084" max="14084" width="9.85546875" style="53" customWidth="1"/>
    <col min="14085" max="14085" width="0" style="53" hidden="1" customWidth="1"/>
    <col min="14086" max="14088" width="7.5703125" style="53" customWidth="1"/>
    <col min="14089" max="14089" width="6.7109375" style="53" bestFit="1" customWidth="1"/>
    <col min="14090" max="14098" width="6" style="53" bestFit="1" customWidth="1"/>
    <col min="14099" max="14336" width="9.140625" style="53"/>
    <col min="14337" max="14337" width="2.85546875" style="53" customWidth="1"/>
    <col min="14338" max="14338" width="12.85546875" style="53" customWidth="1"/>
    <col min="14339" max="14339" width="18" style="53" customWidth="1"/>
    <col min="14340" max="14340" width="9.85546875" style="53" customWidth="1"/>
    <col min="14341" max="14341" width="0" style="53" hidden="1" customWidth="1"/>
    <col min="14342" max="14344" width="7.5703125" style="53" customWidth="1"/>
    <col min="14345" max="14345" width="6.7109375" style="53" bestFit="1" customWidth="1"/>
    <col min="14346" max="14354" width="6" style="53" bestFit="1" customWidth="1"/>
    <col min="14355" max="14592" width="9.140625" style="53"/>
    <col min="14593" max="14593" width="2.85546875" style="53" customWidth="1"/>
    <col min="14594" max="14594" width="12.85546875" style="53" customWidth="1"/>
    <col min="14595" max="14595" width="18" style="53" customWidth="1"/>
    <col min="14596" max="14596" width="9.85546875" style="53" customWidth="1"/>
    <col min="14597" max="14597" width="0" style="53" hidden="1" customWidth="1"/>
    <col min="14598" max="14600" width="7.5703125" style="53" customWidth="1"/>
    <col min="14601" max="14601" width="6.7109375" style="53" bestFit="1" customWidth="1"/>
    <col min="14602" max="14610" width="6" style="53" bestFit="1" customWidth="1"/>
    <col min="14611" max="14848" width="9.140625" style="53"/>
    <col min="14849" max="14849" width="2.85546875" style="53" customWidth="1"/>
    <col min="14850" max="14850" width="12.85546875" style="53" customWidth="1"/>
    <col min="14851" max="14851" width="18" style="53" customWidth="1"/>
    <col min="14852" max="14852" width="9.85546875" style="53" customWidth="1"/>
    <col min="14853" max="14853" width="0" style="53" hidden="1" customWidth="1"/>
    <col min="14854" max="14856" width="7.5703125" style="53" customWidth="1"/>
    <col min="14857" max="14857" width="6.7109375" style="53" bestFit="1" customWidth="1"/>
    <col min="14858" max="14866" width="6" style="53" bestFit="1" customWidth="1"/>
    <col min="14867" max="15104" width="9.140625" style="53"/>
    <col min="15105" max="15105" width="2.85546875" style="53" customWidth="1"/>
    <col min="15106" max="15106" width="12.85546875" style="53" customWidth="1"/>
    <col min="15107" max="15107" width="18" style="53" customWidth="1"/>
    <col min="15108" max="15108" width="9.85546875" style="53" customWidth="1"/>
    <col min="15109" max="15109" width="0" style="53" hidden="1" customWidth="1"/>
    <col min="15110" max="15112" width="7.5703125" style="53" customWidth="1"/>
    <col min="15113" max="15113" width="6.7109375" style="53" bestFit="1" customWidth="1"/>
    <col min="15114" max="15122" width="6" style="53" bestFit="1" customWidth="1"/>
    <col min="15123" max="15360" width="9.140625" style="53"/>
    <col min="15361" max="15361" width="2.85546875" style="53" customWidth="1"/>
    <col min="15362" max="15362" width="12.85546875" style="53" customWidth="1"/>
    <col min="15363" max="15363" width="18" style="53" customWidth="1"/>
    <col min="15364" max="15364" width="9.85546875" style="53" customWidth="1"/>
    <col min="15365" max="15365" width="0" style="53" hidden="1" customWidth="1"/>
    <col min="15366" max="15368" width="7.5703125" style="53" customWidth="1"/>
    <col min="15369" max="15369" width="6.7109375" style="53" bestFit="1" customWidth="1"/>
    <col min="15370" max="15378" width="6" style="53" bestFit="1" customWidth="1"/>
    <col min="15379" max="15616" width="9.140625" style="53"/>
    <col min="15617" max="15617" width="2.85546875" style="53" customWidth="1"/>
    <col min="15618" max="15618" width="12.85546875" style="53" customWidth="1"/>
    <col min="15619" max="15619" width="18" style="53" customWidth="1"/>
    <col min="15620" max="15620" width="9.85546875" style="53" customWidth="1"/>
    <col min="15621" max="15621" width="0" style="53" hidden="1" customWidth="1"/>
    <col min="15622" max="15624" width="7.5703125" style="53" customWidth="1"/>
    <col min="15625" max="15625" width="6.7109375" style="53" bestFit="1" customWidth="1"/>
    <col min="15626" max="15634" width="6" style="53" bestFit="1" customWidth="1"/>
    <col min="15635" max="15872" width="9.140625" style="53"/>
    <col min="15873" max="15873" width="2.85546875" style="53" customWidth="1"/>
    <col min="15874" max="15874" width="12.85546875" style="53" customWidth="1"/>
    <col min="15875" max="15875" width="18" style="53" customWidth="1"/>
    <col min="15876" max="15876" width="9.85546875" style="53" customWidth="1"/>
    <col min="15877" max="15877" width="0" style="53" hidden="1" customWidth="1"/>
    <col min="15878" max="15880" width="7.5703125" style="53" customWidth="1"/>
    <col min="15881" max="15881" width="6.7109375" style="53" bestFit="1" customWidth="1"/>
    <col min="15882" max="15890" width="6" style="53" bestFit="1" customWidth="1"/>
    <col min="15891" max="16128" width="9.140625" style="53"/>
    <col min="16129" max="16129" width="2.85546875" style="53" customWidth="1"/>
    <col min="16130" max="16130" width="12.85546875" style="53" customWidth="1"/>
    <col min="16131" max="16131" width="18" style="53" customWidth="1"/>
    <col min="16132" max="16132" width="9.85546875" style="53" customWidth="1"/>
    <col min="16133" max="16133" width="0" style="53" hidden="1" customWidth="1"/>
    <col min="16134" max="16136" width="7.5703125" style="53" customWidth="1"/>
    <col min="16137" max="16137" width="6.7109375" style="53" bestFit="1" customWidth="1"/>
    <col min="16138" max="16146" width="6" style="53" bestFit="1" customWidth="1"/>
    <col min="16147" max="16384" width="9.140625" style="53"/>
  </cols>
  <sheetData>
    <row r="1" spans="2:21" ht="15.75" thickBot="1"/>
    <row r="2" spans="2:21">
      <c r="B2" s="54" t="s">
        <v>113</v>
      </c>
      <c r="C2" s="55"/>
      <c r="D2" s="55"/>
      <c r="E2" s="55"/>
      <c r="F2" s="55"/>
      <c r="G2" s="55"/>
      <c r="H2" s="55"/>
      <c r="I2" s="55"/>
      <c r="J2" s="56"/>
    </row>
    <row r="3" spans="2:21" ht="15.75" thickBot="1">
      <c r="B3" s="57" t="s">
        <v>114</v>
      </c>
      <c r="C3" s="58"/>
      <c r="D3" s="58"/>
      <c r="E3" s="58"/>
      <c r="F3" s="58"/>
      <c r="G3" s="58"/>
      <c r="H3" s="58"/>
      <c r="I3" s="58"/>
      <c r="J3" s="59"/>
    </row>
    <row r="4" spans="2:21">
      <c r="B4" s="60"/>
      <c r="G4" s="61"/>
      <c r="H4" s="61"/>
      <c r="I4" s="62"/>
    </row>
    <row r="5" spans="2:21">
      <c r="B5" s="60"/>
      <c r="F5" s="63"/>
      <c r="G5" s="64" t="s">
        <v>115</v>
      </c>
      <c r="H5" s="65">
        <v>5</v>
      </c>
      <c r="I5" s="66" t="s">
        <v>100</v>
      </c>
    </row>
    <row r="6" spans="2:21">
      <c r="B6" s="60"/>
      <c r="F6" s="63"/>
      <c r="G6" s="64" t="s">
        <v>116</v>
      </c>
      <c r="H6" s="65">
        <v>0.34</v>
      </c>
      <c r="I6" s="66" t="s">
        <v>101</v>
      </c>
    </row>
    <row r="7" spans="2:21" hidden="1">
      <c r="B7" s="60"/>
      <c r="G7" s="61" t="s">
        <v>117</v>
      </c>
      <c r="H7" s="67">
        <v>1.2</v>
      </c>
      <c r="I7" s="62" t="s">
        <v>101</v>
      </c>
    </row>
    <row r="8" spans="2:21">
      <c r="B8" s="60"/>
      <c r="G8" s="61"/>
      <c r="H8" s="67"/>
      <c r="I8" s="62"/>
    </row>
    <row r="9" spans="2:21">
      <c r="G9" s="68" t="s">
        <v>118</v>
      </c>
      <c r="H9" s="65">
        <v>2200</v>
      </c>
      <c r="I9" s="69" t="s">
        <v>119</v>
      </c>
      <c r="S9" s="70"/>
    </row>
    <row r="10" spans="2:21" s="62" customFormat="1">
      <c r="G10" s="61"/>
      <c r="H10" s="67"/>
      <c r="S10" s="71"/>
    </row>
    <row r="11" spans="2:21">
      <c r="G11" s="68" t="s">
        <v>120</v>
      </c>
      <c r="H11" s="65">
        <v>0.4</v>
      </c>
      <c r="I11" s="69" t="s">
        <v>100</v>
      </c>
    </row>
    <row r="12" spans="2:21">
      <c r="G12" s="72"/>
      <c r="H12" s="72"/>
      <c r="I12" s="67"/>
    </row>
    <row r="13" spans="2:21" hidden="1">
      <c r="G13" s="72" t="s">
        <v>121</v>
      </c>
      <c r="H13" s="72">
        <v>0.65</v>
      </c>
      <c r="J13" s="73"/>
      <c r="O13" s="67"/>
      <c r="P13" s="67"/>
      <c r="Q13" s="67"/>
      <c r="R13" s="62"/>
      <c r="S13" s="62"/>
      <c r="T13" s="62"/>
    </row>
    <row r="14" spans="2:21">
      <c r="G14" s="68" t="s">
        <v>122</v>
      </c>
      <c r="H14" s="65">
        <v>65</v>
      </c>
      <c r="I14" s="69" t="s">
        <v>123</v>
      </c>
      <c r="J14" s="74"/>
      <c r="K14" s="70"/>
      <c r="O14" s="75"/>
      <c r="P14" s="75"/>
      <c r="Q14" s="76"/>
      <c r="R14" s="77"/>
      <c r="S14" s="78"/>
      <c r="T14" s="62"/>
    </row>
    <row r="15" spans="2:21" ht="15.75" thickBot="1">
      <c r="G15" s="79"/>
      <c r="H15" s="79"/>
      <c r="I15" s="80"/>
      <c r="P15" s="81"/>
      <c r="Q15" s="82"/>
      <c r="R15" s="62"/>
      <c r="S15" s="62"/>
      <c r="T15" s="62"/>
      <c r="U15" s="62"/>
    </row>
    <row r="16" spans="2:21" ht="15.75" hidden="1" thickBot="1">
      <c r="G16" s="79" t="s">
        <v>124</v>
      </c>
      <c r="H16" s="83">
        <v>7</v>
      </c>
      <c r="I16" s="84" t="s">
        <v>125</v>
      </c>
      <c r="J16" s="85" t="b">
        <v>1</v>
      </c>
      <c r="P16" s="81"/>
      <c r="Q16" s="82"/>
      <c r="R16" s="62"/>
      <c r="S16" s="62"/>
      <c r="T16" s="62"/>
      <c r="U16" s="62"/>
    </row>
    <row r="17" spans="2:11" ht="15.75" hidden="1" thickBot="1">
      <c r="G17" s="72" t="s">
        <v>126</v>
      </c>
      <c r="H17" s="80">
        <v>3</v>
      </c>
      <c r="I17" s="53" t="s">
        <v>125</v>
      </c>
    </row>
    <row r="18" spans="2:11" ht="15.75" thickBot="1">
      <c r="C18" s="86"/>
      <c r="D18" s="86"/>
      <c r="E18" s="87" t="s">
        <v>127</v>
      </c>
    </row>
    <row r="19" spans="2:11" ht="15.75" thickBot="1">
      <c r="B19" s="88" t="s">
        <v>128</v>
      </c>
      <c r="C19" s="89"/>
      <c r="D19" s="90"/>
      <c r="E19" s="91">
        <v>13</v>
      </c>
      <c r="F19" s="92">
        <v>6.5</v>
      </c>
      <c r="G19" s="93">
        <v>9</v>
      </c>
      <c r="H19" s="93">
        <v>13.2</v>
      </c>
      <c r="I19" s="93">
        <v>18</v>
      </c>
      <c r="J19" s="92">
        <v>20</v>
      </c>
    </row>
    <row r="20" spans="2:11">
      <c r="B20" s="94" t="s">
        <v>129</v>
      </c>
      <c r="C20" s="95"/>
      <c r="D20" s="95"/>
      <c r="E20" s="96">
        <f>FswNom*IF(Vinref&gt;19,0.5,1)</f>
        <v>2200</v>
      </c>
      <c r="F20" s="97">
        <f>FswNom*IF(F19&gt;19,0.5,1)</f>
        <v>2200</v>
      </c>
      <c r="G20" s="97">
        <f>FswNom*IF(G19&gt;19,0.5,1)</f>
        <v>2200</v>
      </c>
      <c r="H20" s="97">
        <f>FswNom*IF(H19&gt;19,0.5,1)</f>
        <v>2200</v>
      </c>
      <c r="I20" s="97">
        <f>FswNom*IF(I19&gt;19,0.5,1)</f>
        <v>2200</v>
      </c>
      <c r="J20" s="97">
        <f>FswNom*IF(J19&gt;19,0.5,1)</f>
        <v>1100</v>
      </c>
    </row>
    <row r="21" spans="2:11">
      <c r="B21" s="98"/>
      <c r="C21" s="86"/>
      <c r="D21" s="99"/>
      <c r="E21" s="100"/>
      <c r="F21" s="101"/>
      <c r="G21" s="101"/>
      <c r="H21" s="101"/>
      <c r="I21" s="101"/>
      <c r="J21" s="101"/>
    </row>
    <row r="22" spans="2:11">
      <c r="B22" s="102" t="s">
        <v>12</v>
      </c>
      <c r="C22" s="103"/>
      <c r="D22" s="104"/>
      <c r="E22" s="105">
        <f>(Vout+Vdiode)/(E19+Vdiode-LoadRef*Rdson1p2A)</f>
        <v>0.42789223454833597</v>
      </c>
      <c r="F22" s="106">
        <f>(Vout+Vdiode)/(F19+Vdiode-Iout*Rdson1p2A)</f>
        <v>0.80850426710585421</v>
      </c>
      <c r="G22" s="106">
        <f>(Vout+Vdiode)/(G19+Vdiode-Iout*Rdson1p2A)</f>
        <v>0.58829937901732221</v>
      </c>
      <c r="H22" s="106">
        <f>(Vout+Vdiode)/(H19+Vdiode-Iout*Rdson1p2A)</f>
        <v>0.4036176096868227</v>
      </c>
      <c r="I22" s="106">
        <f>(Vout+Vdiode)/(I19+Vdiode-Iout*Rdson1p2A)</f>
        <v>0.29704604213653119</v>
      </c>
      <c r="J22" s="106">
        <f>(Vout+Vdiode)/(J19+Vdiode-Iout*Rdson1p2A)</f>
        <v>0.26760493582437189</v>
      </c>
    </row>
    <row r="23" spans="2:11" ht="12.75" customHeight="1">
      <c r="B23" s="98"/>
      <c r="C23" s="86"/>
      <c r="D23" s="86"/>
      <c r="E23" s="98"/>
      <c r="F23" s="107"/>
      <c r="G23" s="107"/>
      <c r="H23" s="107"/>
      <c r="I23" s="107"/>
      <c r="J23" s="107"/>
    </row>
    <row r="24" spans="2:11" ht="12.75" hidden="1" customHeight="1">
      <c r="B24" s="108" t="s">
        <v>130</v>
      </c>
      <c r="C24" s="109" t="s">
        <v>131</v>
      </c>
      <c r="D24" s="110" t="s">
        <v>132</v>
      </c>
      <c r="E24" s="100">
        <v>3.1</v>
      </c>
      <c r="F24" s="106">
        <f>t1ref*SQRT(Iout/LoadRef)</f>
        <v>1.6501010070093689</v>
      </c>
      <c r="G24" s="106">
        <f>t1ref*SQRT(Iout/LoadRef)</f>
        <v>1.6501010070093689</v>
      </c>
      <c r="H24" s="106">
        <f>t1ref*SQRT(Iout/LoadRef)</f>
        <v>1.6501010070093689</v>
      </c>
      <c r="I24" s="106">
        <f>t1ref*SQRT(Iout/LoadRef)</f>
        <v>1.6501010070093689</v>
      </c>
      <c r="J24" s="106">
        <f>t1ref*SQRT(Iout/LoadRef)</f>
        <v>1.6501010070093689</v>
      </c>
    </row>
    <row r="25" spans="2:11" hidden="1">
      <c r="B25" s="108" t="s">
        <v>133</v>
      </c>
      <c r="C25" s="109" t="s">
        <v>134</v>
      </c>
      <c r="D25" s="110" t="s">
        <v>135</v>
      </c>
      <c r="E25" s="111">
        <v>1.6</v>
      </c>
      <c r="F25" s="101">
        <f>t2ref</f>
        <v>1.6</v>
      </c>
      <c r="G25" s="101">
        <f>t2ref</f>
        <v>1.6</v>
      </c>
      <c r="H25" s="101">
        <f>t2ref</f>
        <v>1.6</v>
      </c>
      <c r="I25" s="101">
        <f>t2ref</f>
        <v>1.6</v>
      </c>
      <c r="J25" s="101">
        <f>t2ref</f>
        <v>1.6</v>
      </c>
      <c r="K25" s="112"/>
    </row>
    <row r="26" spans="2:11" hidden="1">
      <c r="B26" s="108" t="s">
        <v>136</v>
      </c>
      <c r="C26" s="109" t="s">
        <v>137</v>
      </c>
      <c r="D26" s="110" t="s">
        <v>138</v>
      </c>
      <c r="E26" s="105">
        <v>4.5999999999999996</v>
      </c>
      <c r="F26" s="113">
        <f>t3ref*F$19/Vinref</f>
        <v>2.2999999999999998</v>
      </c>
      <c r="G26" s="113">
        <f>t3ref*G$19/Vinref</f>
        <v>3.1846153846153844</v>
      </c>
      <c r="H26" s="113">
        <f>t3ref*H$19/Vinref</f>
        <v>4.6707692307692303</v>
      </c>
      <c r="I26" s="113">
        <f>t3ref*I$19/Vinref</f>
        <v>6.3692307692307688</v>
      </c>
      <c r="J26" s="113">
        <f>t3ref*J$19/Vinref</f>
        <v>7.0769230769230766</v>
      </c>
      <c r="K26" s="112"/>
    </row>
    <row r="27" spans="2:11" hidden="1">
      <c r="B27" s="108" t="s">
        <v>139</v>
      </c>
      <c r="C27" s="109" t="s">
        <v>140</v>
      </c>
      <c r="D27" s="110" t="s">
        <v>141</v>
      </c>
      <c r="E27" s="100">
        <v>12.5</v>
      </c>
      <c r="F27" s="101">
        <f>t4ref</f>
        <v>12.5</v>
      </c>
      <c r="G27" s="101">
        <f>t4ref</f>
        <v>12.5</v>
      </c>
      <c r="H27" s="101">
        <f>t4ref</f>
        <v>12.5</v>
      </c>
      <c r="I27" s="101">
        <f>t4ref</f>
        <v>12.5</v>
      </c>
      <c r="J27" s="101">
        <f>t4ref</f>
        <v>12.5</v>
      </c>
    </row>
    <row r="28" spans="2:11" hidden="1">
      <c r="B28" s="98"/>
      <c r="C28" s="86"/>
      <c r="D28" s="86"/>
      <c r="E28" s="98"/>
      <c r="F28" s="107"/>
      <c r="G28" s="107"/>
      <c r="H28" s="107"/>
      <c r="I28" s="107"/>
      <c r="J28" s="107"/>
    </row>
    <row r="29" spans="2:11" hidden="1">
      <c r="B29" s="98"/>
      <c r="C29" s="86"/>
      <c r="D29" s="114" t="s">
        <v>142</v>
      </c>
      <c r="E29" s="115">
        <f>1000*FswMax*t1ref/1000000000*(Vinref+0.5)*LoadRef/2</f>
        <v>5.5241999999999999E-2</v>
      </c>
      <c r="F29" s="116">
        <f>1000*F20*F24/1000000000*(F$19+0.5)*Iout/2</f>
        <v>4.3199644363505285E-3</v>
      </c>
      <c r="G29" s="116">
        <f>1000*G20*G24/1000000000*(G$19+0.5)*Iout/2</f>
        <v>5.8628088779042881E-3</v>
      </c>
      <c r="H29" s="116">
        <f>1000*H20*H24/1000000000*(H$19+0.5)*Iout/2</f>
        <v>8.4547875397146047E-3</v>
      </c>
      <c r="I29" s="116">
        <f>1000*I20*I24/1000000000*(I$19+0.5)*Iout/2</f>
        <v>1.1417048867497826E-2</v>
      </c>
      <c r="J29" s="116">
        <f>1000*J20*J24/1000000000*(J$19+0.5)*Iout/2</f>
        <v>6.3256622103704165E-3</v>
      </c>
    </row>
    <row r="30" spans="2:11" hidden="1">
      <c r="B30" s="98"/>
      <c r="C30" s="86"/>
      <c r="D30" s="114" t="s">
        <v>143</v>
      </c>
      <c r="E30" s="115">
        <f>1000*FswMax*t2ref/1000000000*(Vinref-1)*(LoadRef+0.4/2)</f>
        <v>5.9135999999999994E-2</v>
      </c>
      <c r="F30" s="116">
        <f>1000*F20*F25/1000000000*(F$19-1)*(Iout+0.4/2)</f>
        <v>1.0454400000000003E-2</v>
      </c>
      <c r="G30" s="116">
        <f>1000*G20*G25/1000000000*(G$19-1)*(Iout+0.4/2)</f>
        <v>1.5206400000000002E-2</v>
      </c>
      <c r="H30" s="116">
        <f>1000*H20*H25/1000000000*(H$19-1)*(Iout+0.4/2)</f>
        <v>2.318976E-2</v>
      </c>
      <c r="I30" s="116">
        <f>1000*I20*I25/1000000000*(I$19-1)*(Iout+0.4/2)</f>
        <v>3.2313600000000005E-2</v>
      </c>
      <c r="J30" s="116">
        <f>1000*J20*J25/1000000000*(J$19-1)*(Iout+0.4/2)</f>
        <v>1.8057600000000004E-2</v>
      </c>
    </row>
    <row r="31" spans="2:11" hidden="1">
      <c r="B31" s="98"/>
      <c r="C31" s="86"/>
      <c r="D31" s="114" t="s">
        <v>144</v>
      </c>
      <c r="E31" s="115">
        <f>1000*FswMax*t3ref/1000000000*((Vinref-1)*(LoadRef+(0.4))+(-(Vinref-2)*(LoadRef+(0.4))-0.4*(Vinref-1))/2+0.4*(Vinref-2)/3)</f>
        <v>9.5802666666666689E-2</v>
      </c>
      <c r="F31" s="116">
        <f>1000*F20*F26/1000000000*((F$19-1)*(Iout+0.4)+(-(F$19-2)*(Iout+0.4)-0.4*(F$19-1))/2+0.4*(F$19-2)/3)</f>
        <v>9.6393000000000017E-3</v>
      </c>
      <c r="G31" s="116">
        <f>1000*G20*G26/1000000000*((G$19-1)*(Iout+0.4)+(-(G$19-2)*(Iout+0.4)-0.4*(G$19-1))/2+0.4*(G$19-2)/3)</f>
        <v>1.8659723076923082E-2</v>
      </c>
      <c r="H31" s="116">
        <f>1000*H20*H26/1000000000*((H$19-1)*(Iout+0.4)+(-(H$19-2)*(Iout+0.4)-0.4*(H$19-1))/2+0.4*(H$19-2)/3)</f>
        <v>4.0458825846153831E-2</v>
      </c>
      <c r="I31" s="116">
        <f>1000*I20*I26/1000000000*((I$19-1)*(Iout+0.4)+(-(I$19-2)*(Iout+0.4)-0.4*(I$19-1))/2+0.4*(I$19-2)/3)</f>
        <v>7.5573046153846149E-2</v>
      </c>
      <c r="J31" s="116">
        <f>1000*J20*J26/1000000000*((J$19-1)*(Iout+0.4)+(-(J$19-2)*(Iout+0.4)-0.4*(J$19-1))/2+0.4*(J$19-2)/3)</f>
        <v>4.6707692307692304E-2</v>
      </c>
    </row>
    <row r="32" spans="2:11" hidden="1">
      <c r="B32" s="98"/>
      <c r="C32" s="86"/>
      <c r="D32" s="114" t="s">
        <v>145</v>
      </c>
      <c r="E32" s="115">
        <f>1000*FswMax*t4ref/1000000000*0.5*LoadRef</f>
        <v>1.6500000000000001E-2</v>
      </c>
      <c r="F32" s="116">
        <f>1000*F20*F27/1000000000*0.5*Iout</f>
        <v>4.6750000000000003E-3</v>
      </c>
      <c r="G32" s="116">
        <f>1000*G20*G27/1000000000*0.5*Iout</f>
        <v>4.6750000000000003E-3</v>
      </c>
      <c r="H32" s="116">
        <f>1000*H20*H27/1000000000*0.5*Iout</f>
        <v>4.6750000000000003E-3</v>
      </c>
      <c r="I32" s="116">
        <f>1000*I20*I27/1000000000*0.5*Iout</f>
        <v>4.6750000000000003E-3</v>
      </c>
      <c r="J32" s="116">
        <f>1000*J20*J27/1000000000*0.5*Iout</f>
        <v>2.3375000000000002E-3</v>
      </c>
    </row>
    <row r="33" spans="2:11">
      <c r="B33" s="102" t="s">
        <v>146</v>
      </c>
      <c r="C33" s="103"/>
      <c r="D33" s="104"/>
      <c r="E33" s="115">
        <f t="shared" ref="E33:J33" si="0">SUM(E29:E32)</f>
        <v>0.2266806666666667</v>
      </c>
      <c r="F33" s="116">
        <f t="shared" si="0"/>
        <v>2.9088664436350532E-2</v>
      </c>
      <c r="G33" s="116">
        <f t="shared" si="0"/>
        <v>4.4403931954827371E-2</v>
      </c>
      <c r="H33" s="116">
        <f t="shared" si="0"/>
        <v>7.6778373385868431E-2</v>
      </c>
      <c r="I33" s="116">
        <f t="shared" si="0"/>
        <v>0.12397869502134398</v>
      </c>
      <c r="J33" s="116">
        <f t="shared" si="0"/>
        <v>7.3428454518062722E-2</v>
      </c>
    </row>
    <row r="34" spans="2:11">
      <c r="B34" s="102" t="s">
        <v>147</v>
      </c>
      <c r="C34" s="103"/>
      <c r="D34" s="104"/>
      <c r="E34" s="115">
        <f>(Vout+Vdiode)/(Vinref+Vdiode-LoadRef*Rdson1p2A)*LoadRef^2*Rdson1p2A</f>
        <v>0.40050713153724243</v>
      </c>
      <c r="F34" s="116">
        <f>(Vout+Vdiode)/(F19+Vdiode-Iout*Rdson1p2A)*Iout^2*Rdson1p2A</f>
        <v>6.0751010630333897E-2</v>
      </c>
      <c r="G34" s="116">
        <f>(Vout+Vdiode)/(G19+Vdiode-Iout*Rdson1p2A)*Iout^2*Rdson1p2A</f>
        <v>4.4204815339361603E-2</v>
      </c>
      <c r="H34" s="116">
        <f>(Vout+Vdiode)/(H19+Vdiode-Iout*Rdson1p2A)*Iout^2*Rdson1p2A</f>
        <v>3.0327827191867864E-2</v>
      </c>
      <c r="I34" s="116">
        <f>(Vout+Vdiode)/(I19+Vdiode-Iout*Rdson1p2A)*Iout^2*Rdson1p2A</f>
        <v>2.2320039606138958E-2</v>
      </c>
      <c r="J34" s="116">
        <f>(Vout+Vdiode)/(J19+Vdiode-Iout*Rdson1p2A)*Iout^2*Rdson1p2A</f>
        <v>2.010783487784331E-2</v>
      </c>
    </row>
    <row r="35" spans="2:11">
      <c r="B35" s="102" t="s">
        <v>148</v>
      </c>
      <c r="C35" s="103"/>
      <c r="D35" s="104"/>
      <c r="E35" s="115">
        <f t="shared" ref="E35:J35" si="1">E33+E34</f>
        <v>0.62718779820390913</v>
      </c>
      <c r="F35" s="116">
        <f t="shared" si="1"/>
        <v>8.983967506668443E-2</v>
      </c>
      <c r="G35" s="116">
        <f t="shared" si="1"/>
        <v>8.8608747294188966E-2</v>
      </c>
      <c r="H35" s="116">
        <f t="shared" si="1"/>
        <v>0.10710620057773629</v>
      </c>
      <c r="I35" s="116">
        <f t="shared" si="1"/>
        <v>0.14629873462748294</v>
      </c>
      <c r="J35" s="116">
        <f t="shared" si="1"/>
        <v>9.3536289395906025E-2</v>
      </c>
    </row>
    <row r="36" spans="2:11">
      <c r="B36" s="98"/>
      <c r="C36" s="86"/>
      <c r="D36" s="86"/>
      <c r="E36" s="100"/>
      <c r="F36" s="101"/>
      <c r="G36" s="101"/>
      <c r="H36" s="101"/>
      <c r="I36" s="101"/>
      <c r="J36" s="101"/>
    </row>
    <row r="37" spans="2:11">
      <c r="B37" s="102" t="s">
        <v>149</v>
      </c>
      <c r="C37" s="103"/>
      <c r="D37" s="104"/>
      <c r="E37" s="115">
        <f>0.001*LDOLoad*(Vinref-3.3)*FswMax/2000</f>
        <v>7.4689999999999993E-2</v>
      </c>
      <c r="F37" s="116">
        <f>0.001*UseLDO*LDOLoad*(F19-3.3)*F20/2000</f>
        <v>2.4640000000000006E-2</v>
      </c>
      <c r="G37" s="116">
        <f>0.001*UseLDO*LDOLoad*(G19-3.3)*G20/2000</f>
        <v>4.3890000000000005E-2</v>
      </c>
      <c r="H37" s="116">
        <f>0.001*UseLDO*LDOLoad*(H19-3.3)*H20/2000</f>
        <v>7.6229999999999992E-2</v>
      </c>
      <c r="I37" s="116">
        <f>0.001*UseLDO*LDOLoad*(I19-3.3)*I20/2000</f>
        <v>0.11319</v>
      </c>
      <c r="J37" s="116">
        <f>0.001*UseLDO*LDOLoad*(J19-3.3)*J20/2000</f>
        <v>6.4295000000000005E-2</v>
      </c>
    </row>
    <row r="38" spans="2:11">
      <c r="B38" s="98"/>
      <c r="C38" s="86"/>
      <c r="D38" s="86"/>
      <c r="E38" s="100"/>
      <c r="F38" s="101"/>
      <c r="G38" s="101"/>
      <c r="H38" s="101"/>
      <c r="I38" s="101"/>
      <c r="J38" s="101"/>
    </row>
    <row r="39" spans="2:11">
      <c r="B39" s="102" t="s">
        <v>150</v>
      </c>
      <c r="C39" s="103"/>
      <c r="D39" s="104"/>
      <c r="E39" s="115">
        <f>0.001*Iq*Vinref</f>
        <v>3.9E-2</v>
      </c>
      <c r="F39" s="116">
        <f>0.001*Iq*F19</f>
        <v>1.95E-2</v>
      </c>
      <c r="G39" s="116">
        <f>0.001*Iq*G19</f>
        <v>2.7E-2</v>
      </c>
      <c r="H39" s="116">
        <f>0.001*Iq*H19</f>
        <v>3.9599999999999996E-2</v>
      </c>
      <c r="I39" s="116">
        <f>0.001*Iq*I19</f>
        <v>5.3999999999999999E-2</v>
      </c>
      <c r="J39" s="116">
        <f>0.001*Iq*J19</f>
        <v>0.06</v>
      </c>
    </row>
    <row r="40" spans="2:11">
      <c r="B40" s="98"/>
      <c r="C40" s="86"/>
      <c r="D40" s="86"/>
      <c r="E40" s="100"/>
      <c r="F40" s="101"/>
      <c r="G40" s="101"/>
      <c r="H40" s="101"/>
      <c r="I40" s="101"/>
      <c r="J40" s="101"/>
    </row>
    <row r="41" spans="2:11">
      <c r="B41" s="102" t="s">
        <v>151</v>
      </c>
      <c r="C41" s="103"/>
      <c r="D41" s="104"/>
      <c r="E41" s="115">
        <f t="shared" ref="E41:J41" si="2">E35+E37+E39</f>
        <v>0.7408777982039092</v>
      </c>
      <c r="F41" s="116">
        <f t="shared" si="2"/>
        <v>0.13397967506668443</v>
      </c>
      <c r="G41" s="116">
        <f t="shared" si="2"/>
        <v>0.15949874729418898</v>
      </c>
      <c r="H41" s="116">
        <f t="shared" si="2"/>
        <v>0.22293620057773628</v>
      </c>
      <c r="I41" s="116">
        <f t="shared" si="2"/>
        <v>0.31348873462748295</v>
      </c>
      <c r="J41" s="116">
        <f t="shared" si="2"/>
        <v>0.21783128939590601</v>
      </c>
    </row>
    <row r="42" spans="2:11">
      <c r="B42" s="98"/>
      <c r="C42" s="86"/>
      <c r="D42" s="86"/>
      <c r="E42" s="98"/>
      <c r="F42" s="107"/>
      <c r="G42" s="107"/>
      <c r="H42" s="107"/>
      <c r="I42" s="107"/>
      <c r="J42" s="107"/>
    </row>
    <row r="43" spans="2:11" ht="15.75" thickBot="1">
      <c r="B43" s="117" t="s">
        <v>152</v>
      </c>
      <c r="C43" s="118"/>
      <c r="D43" s="119"/>
      <c r="E43" s="120">
        <f t="shared" ref="E43:J43" si="3">E41*Rthetaja</f>
        <v>48.1570568832541</v>
      </c>
      <c r="F43" s="121">
        <f t="shared" si="3"/>
        <v>8.7086788793344887</v>
      </c>
      <c r="G43" s="121">
        <f t="shared" si="3"/>
        <v>10.367418574122283</v>
      </c>
      <c r="H43" s="121">
        <f t="shared" si="3"/>
        <v>14.490853037552858</v>
      </c>
      <c r="I43" s="121">
        <f t="shared" si="3"/>
        <v>20.376767750786392</v>
      </c>
      <c r="J43" s="121">
        <f t="shared" si="3"/>
        <v>14.159033810733892</v>
      </c>
    </row>
    <row r="44" spans="2:11" ht="23.25" customHeight="1" thickBot="1">
      <c r="B44" s="122" t="s">
        <v>153</v>
      </c>
      <c r="C44" s="123"/>
      <c r="D44" s="124"/>
      <c r="E44" s="125">
        <f t="shared" ref="E44:J44" si="4">150-E43</f>
        <v>101.8429431167459</v>
      </c>
      <c r="F44" s="126">
        <f t="shared" si="4"/>
        <v>141.29132112066551</v>
      </c>
      <c r="G44" s="126">
        <f t="shared" si="4"/>
        <v>139.63258142587773</v>
      </c>
      <c r="H44" s="126">
        <f t="shared" si="4"/>
        <v>135.50914696244715</v>
      </c>
      <c r="I44" s="126">
        <f t="shared" si="4"/>
        <v>129.6232322492136</v>
      </c>
      <c r="J44" s="126">
        <f t="shared" si="4"/>
        <v>135.84096618926611</v>
      </c>
    </row>
    <row r="45" spans="2:11">
      <c r="B45" s="127"/>
      <c r="C45" s="128"/>
      <c r="D45" s="128"/>
      <c r="E45" s="129"/>
      <c r="F45" s="130"/>
      <c r="G45" s="129"/>
      <c r="H45" s="130"/>
      <c r="I45" s="130"/>
      <c r="J45" s="130"/>
    </row>
    <row r="46" spans="2:11" ht="15.75" thickBot="1">
      <c r="B46" s="131" t="s">
        <v>154</v>
      </c>
      <c r="C46" s="132"/>
      <c r="D46" s="132"/>
      <c r="E46" s="133">
        <f>(1-(Vout+Vdiode)/(Vinref+Vdiode-LoadRef*Rdson1p2A))*LoadRef*Vdiode</f>
        <v>0.27461172741679868</v>
      </c>
      <c r="F46" s="134">
        <f>(1-(Vout+Vdiode)/(F19+Vdiode-Iout*Rdson1p2A))*Iout*Vdiode</f>
        <v>2.6043419673603831E-2</v>
      </c>
      <c r="G46" s="133">
        <f>(1-(Vout+Vdiode)/(G19+Vdiode-Iout*Rdson1p2A))*Iout*Vdiode</f>
        <v>5.5991284453644187E-2</v>
      </c>
      <c r="H46" s="134">
        <f>(1-(Vout+Vdiode)/(H19+Vdiode-Iout*Rdson1p2A))*Iout*Vdiode</f>
        <v>8.1108005082592124E-2</v>
      </c>
      <c r="I46" s="134">
        <f>(1-(Vout+Vdiode)/(I19+Vdiode-Iout*Rdson1p2A))*Iout*Vdiode</f>
        <v>9.5601738269431774E-2</v>
      </c>
      <c r="J46" s="134">
        <f>(1-(Vout+Vdiode)/(J19+Vdiode-Iout*Rdson1p2A))*Iout*Vdiode</f>
        <v>9.9605728727885423E-2</v>
      </c>
      <c r="K46" s="112"/>
    </row>
    <row r="49" spans="2:10" ht="129.75" customHeight="1">
      <c r="B49" s="135" t="s">
        <v>155</v>
      </c>
      <c r="C49" s="135"/>
      <c r="D49" s="135"/>
      <c r="E49" s="135"/>
      <c r="F49" s="135"/>
      <c r="G49" s="135"/>
      <c r="H49" s="135"/>
      <c r="I49" s="135"/>
      <c r="J49" s="135"/>
    </row>
  </sheetData>
  <sheetProtection password="F725" sheet="1" objects="1" scenarios="1" selectLockedCells="1"/>
  <mergeCells count="15">
    <mergeCell ref="B44:D44"/>
    <mergeCell ref="B46:D46"/>
    <mergeCell ref="B49:J49"/>
    <mergeCell ref="B34:D34"/>
    <mergeCell ref="B35:D35"/>
    <mergeCell ref="B37:D37"/>
    <mergeCell ref="B39:D39"/>
    <mergeCell ref="B41:D41"/>
    <mergeCell ref="B43:D43"/>
    <mergeCell ref="B2:J2"/>
    <mergeCell ref="B3:J3"/>
    <mergeCell ref="B19:D19"/>
    <mergeCell ref="B20:D20"/>
    <mergeCell ref="B22:D22"/>
    <mergeCell ref="B33:D3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1</xdr:col>
                    <xdr:colOff>266700</xdr:colOff>
                    <xdr:row>35</xdr:row>
                    <xdr:rowOff>133350</xdr:rowOff>
                  </from>
                  <to>
                    <xdr:col>1</xdr:col>
                    <xdr:colOff>571500</xdr:colOff>
                    <xdr:row>37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5" sqref="C5"/>
    </sheetView>
  </sheetViews>
  <sheetFormatPr defaultRowHeight="15"/>
  <cols>
    <col min="3" max="3" width="8.140625" customWidth="1"/>
    <col min="4" max="4" width="16" customWidth="1"/>
    <col min="5" max="5" width="18.85546875" customWidth="1"/>
    <col min="6" max="6" width="10.140625" customWidth="1"/>
    <col min="259" max="259" width="8.140625" customWidth="1"/>
    <col min="260" max="260" width="16" customWidth="1"/>
    <col min="261" max="261" width="18.85546875" customWidth="1"/>
    <col min="262" max="262" width="10.140625" customWidth="1"/>
    <col min="515" max="515" width="8.140625" customWidth="1"/>
    <col min="516" max="516" width="16" customWidth="1"/>
    <col min="517" max="517" width="18.85546875" customWidth="1"/>
    <col min="518" max="518" width="10.140625" customWidth="1"/>
    <col min="771" max="771" width="8.140625" customWidth="1"/>
    <col min="772" max="772" width="16" customWidth="1"/>
    <col min="773" max="773" width="18.85546875" customWidth="1"/>
    <col min="774" max="774" width="10.140625" customWidth="1"/>
    <col min="1027" max="1027" width="8.140625" customWidth="1"/>
    <col min="1028" max="1028" width="16" customWidth="1"/>
    <col min="1029" max="1029" width="18.85546875" customWidth="1"/>
    <col min="1030" max="1030" width="10.140625" customWidth="1"/>
    <col min="1283" max="1283" width="8.140625" customWidth="1"/>
    <col min="1284" max="1284" width="16" customWidth="1"/>
    <col min="1285" max="1285" width="18.85546875" customWidth="1"/>
    <col min="1286" max="1286" width="10.140625" customWidth="1"/>
    <col min="1539" max="1539" width="8.140625" customWidth="1"/>
    <col min="1540" max="1540" width="16" customWidth="1"/>
    <col min="1541" max="1541" width="18.85546875" customWidth="1"/>
    <col min="1542" max="1542" width="10.140625" customWidth="1"/>
    <col min="1795" max="1795" width="8.140625" customWidth="1"/>
    <col min="1796" max="1796" width="16" customWidth="1"/>
    <col min="1797" max="1797" width="18.85546875" customWidth="1"/>
    <col min="1798" max="1798" width="10.140625" customWidth="1"/>
    <col min="2051" max="2051" width="8.140625" customWidth="1"/>
    <col min="2052" max="2052" width="16" customWidth="1"/>
    <col min="2053" max="2053" width="18.85546875" customWidth="1"/>
    <col min="2054" max="2054" width="10.140625" customWidth="1"/>
    <col min="2307" max="2307" width="8.140625" customWidth="1"/>
    <col min="2308" max="2308" width="16" customWidth="1"/>
    <col min="2309" max="2309" width="18.85546875" customWidth="1"/>
    <col min="2310" max="2310" width="10.140625" customWidth="1"/>
    <col min="2563" max="2563" width="8.140625" customWidth="1"/>
    <col min="2564" max="2564" width="16" customWidth="1"/>
    <col min="2565" max="2565" width="18.85546875" customWidth="1"/>
    <col min="2566" max="2566" width="10.140625" customWidth="1"/>
    <col min="2819" max="2819" width="8.140625" customWidth="1"/>
    <col min="2820" max="2820" width="16" customWidth="1"/>
    <col min="2821" max="2821" width="18.85546875" customWidth="1"/>
    <col min="2822" max="2822" width="10.140625" customWidth="1"/>
    <col min="3075" max="3075" width="8.140625" customWidth="1"/>
    <col min="3076" max="3076" width="16" customWidth="1"/>
    <col min="3077" max="3077" width="18.85546875" customWidth="1"/>
    <col min="3078" max="3078" width="10.140625" customWidth="1"/>
    <col min="3331" max="3331" width="8.140625" customWidth="1"/>
    <col min="3332" max="3332" width="16" customWidth="1"/>
    <col min="3333" max="3333" width="18.85546875" customWidth="1"/>
    <col min="3334" max="3334" width="10.140625" customWidth="1"/>
    <col min="3587" max="3587" width="8.140625" customWidth="1"/>
    <col min="3588" max="3588" width="16" customWidth="1"/>
    <col min="3589" max="3589" width="18.85546875" customWidth="1"/>
    <col min="3590" max="3590" width="10.140625" customWidth="1"/>
    <col min="3843" max="3843" width="8.140625" customWidth="1"/>
    <col min="3844" max="3844" width="16" customWidth="1"/>
    <col min="3845" max="3845" width="18.85546875" customWidth="1"/>
    <col min="3846" max="3846" width="10.140625" customWidth="1"/>
    <col min="4099" max="4099" width="8.140625" customWidth="1"/>
    <col min="4100" max="4100" width="16" customWidth="1"/>
    <col min="4101" max="4101" width="18.85546875" customWidth="1"/>
    <col min="4102" max="4102" width="10.140625" customWidth="1"/>
    <col min="4355" max="4355" width="8.140625" customWidth="1"/>
    <col min="4356" max="4356" width="16" customWidth="1"/>
    <col min="4357" max="4357" width="18.85546875" customWidth="1"/>
    <col min="4358" max="4358" width="10.140625" customWidth="1"/>
    <col min="4611" max="4611" width="8.140625" customWidth="1"/>
    <col min="4612" max="4612" width="16" customWidth="1"/>
    <col min="4613" max="4613" width="18.85546875" customWidth="1"/>
    <col min="4614" max="4614" width="10.140625" customWidth="1"/>
    <col min="4867" max="4867" width="8.140625" customWidth="1"/>
    <col min="4868" max="4868" width="16" customWidth="1"/>
    <col min="4869" max="4869" width="18.85546875" customWidth="1"/>
    <col min="4870" max="4870" width="10.140625" customWidth="1"/>
    <col min="5123" max="5123" width="8.140625" customWidth="1"/>
    <col min="5124" max="5124" width="16" customWidth="1"/>
    <col min="5125" max="5125" width="18.85546875" customWidth="1"/>
    <col min="5126" max="5126" width="10.140625" customWidth="1"/>
    <col min="5379" max="5379" width="8.140625" customWidth="1"/>
    <col min="5380" max="5380" width="16" customWidth="1"/>
    <col min="5381" max="5381" width="18.85546875" customWidth="1"/>
    <col min="5382" max="5382" width="10.140625" customWidth="1"/>
    <col min="5635" max="5635" width="8.140625" customWidth="1"/>
    <col min="5636" max="5636" width="16" customWidth="1"/>
    <col min="5637" max="5637" width="18.85546875" customWidth="1"/>
    <col min="5638" max="5638" width="10.140625" customWidth="1"/>
    <col min="5891" max="5891" width="8.140625" customWidth="1"/>
    <col min="5892" max="5892" width="16" customWidth="1"/>
    <col min="5893" max="5893" width="18.85546875" customWidth="1"/>
    <col min="5894" max="5894" width="10.140625" customWidth="1"/>
    <col min="6147" max="6147" width="8.140625" customWidth="1"/>
    <col min="6148" max="6148" width="16" customWidth="1"/>
    <col min="6149" max="6149" width="18.85546875" customWidth="1"/>
    <col min="6150" max="6150" width="10.140625" customWidth="1"/>
    <col min="6403" max="6403" width="8.140625" customWidth="1"/>
    <col min="6404" max="6404" width="16" customWidth="1"/>
    <col min="6405" max="6405" width="18.85546875" customWidth="1"/>
    <col min="6406" max="6406" width="10.140625" customWidth="1"/>
    <col min="6659" max="6659" width="8.140625" customWidth="1"/>
    <col min="6660" max="6660" width="16" customWidth="1"/>
    <col min="6661" max="6661" width="18.85546875" customWidth="1"/>
    <col min="6662" max="6662" width="10.140625" customWidth="1"/>
    <col min="6915" max="6915" width="8.140625" customWidth="1"/>
    <col min="6916" max="6916" width="16" customWidth="1"/>
    <col min="6917" max="6917" width="18.85546875" customWidth="1"/>
    <col min="6918" max="6918" width="10.140625" customWidth="1"/>
    <col min="7171" max="7171" width="8.140625" customWidth="1"/>
    <col min="7172" max="7172" width="16" customWidth="1"/>
    <col min="7173" max="7173" width="18.85546875" customWidth="1"/>
    <col min="7174" max="7174" width="10.140625" customWidth="1"/>
    <col min="7427" max="7427" width="8.140625" customWidth="1"/>
    <col min="7428" max="7428" width="16" customWidth="1"/>
    <col min="7429" max="7429" width="18.85546875" customWidth="1"/>
    <col min="7430" max="7430" width="10.140625" customWidth="1"/>
    <col min="7683" max="7683" width="8.140625" customWidth="1"/>
    <col min="7684" max="7684" width="16" customWidth="1"/>
    <col min="7685" max="7685" width="18.85546875" customWidth="1"/>
    <col min="7686" max="7686" width="10.140625" customWidth="1"/>
    <col min="7939" max="7939" width="8.140625" customWidth="1"/>
    <col min="7940" max="7940" width="16" customWidth="1"/>
    <col min="7941" max="7941" width="18.85546875" customWidth="1"/>
    <col min="7942" max="7942" width="10.140625" customWidth="1"/>
    <col min="8195" max="8195" width="8.140625" customWidth="1"/>
    <col min="8196" max="8196" width="16" customWidth="1"/>
    <col min="8197" max="8197" width="18.85546875" customWidth="1"/>
    <col min="8198" max="8198" width="10.140625" customWidth="1"/>
    <col min="8451" max="8451" width="8.140625" customWidth="1"/>
    <col min="8452" max="8452" width="16" customWidth="1"/>
    <col min="8453" max="8453" width="18.85546875" customWidth="1"/>
    <col min="8454" max="8454" width="10.140625" customWidth="1"/>
    <col min="8707" max="8707" width="8.140625" customWidth="1"/>
    <col min="8708" max="8708" width="16" customWidth="1"/>
    <col min="8709" max="8709" width="18.85546875" customWidth="1"/>
    <col min="8710" max="8710" width="10.140625" customWidth="1"/>
    <col min="8963" max="8963" width="8.140625" customWidth="1"/>
    <col min="8964" max="8964" width="16" customWidth="1"/>
    <col min="8965" max="8965" width="18.85546875" customWidth="1"/>
    <col min="8966" max="8966" width="10.140625" customWidth="1"/>
    <col min="9219" max="9219" width="8.140625" customWidth="1"/>
    <col min="9220" max="9220" width="16" customWidth="1"/>
    <col min="9221" max="9221" width="18.85546875" customWidth="1"/>
    <col min="9222" max="9222" width="10.140625" customWidth="1"/>
    <col min="9475" max="9475" width="8.140625" customWidth="1"/>
    <col min="9476" max="9476" width="16" customWidth="1"/>
    <col min="9477" max="9477" width="18.85546875" customWidth="1"/>
    <col min="9478" max="9478" width="10.140625" customWidth="1"/>
    <col min="9731" max="9731" width="8.140625" customWidth="1"/>
    <col min="9732" max="9732" width="16" customWidth="1"/>
    <col min="9733" max="9733" width="18.85546875" customWidth="1"/>
    <col min="9734" max="9734" width="10.140625" customWidth="1"/>
    <col min="9987" max="9987" width="8.140625" customWidth="1"/>
    <col min="9988" max="9988" width="16" customWidth="1"/>
    <col min="9989" max="9989" width="18.85546875" customWidth="1"/>
    <col min="9990" max="9990" width="10.140625" customWidth="1"/>
    <col min="10243" max="10243" width="8.140625" customWidth="1"/>
    <col min="10244" max="10244" width="16" customWidth="1"/>
    <col min="10245" max="10245" width="18.85546875" customWidth="1"/>
    <col min="10246" max="10246" width="10.140625" customWidth="1"/>
    <col min="10499" max="10499" width="8.140625" customWidth="1"/>
    <col min="10500" max="10500" width="16" customWidth="1"/>
    <col min="10501" max="10501" width="18.85546875" customWidth="1"/>
    <col min="10502" max="10502" width="10.140625" customWidth="1"/>
    <col min="10755" max="10755" width="8.140625" customWidth="1"/>
    <col min="10756" max="10756" width="16" customWidth="1"/>
    <col min="10757" max="10757" width="18.85546875" customWidth="1"/>
    <col min="10758" max="10758" width="10.140625" customWidth="1"/>
    <col min="11011" max="11011" width="8.140625" customWidth="1"/>
    <col min="11012" max="11012" width="16" customWidth="1"/>
    <col min="11013" max="11013" width="18.85546875" customWidth="1"/>
    <col min="11014" max="11014" width="10.140625" customWidth="1"/>
    <col min="11267" max="11267" width="8.140625" customWidth="1"/>
    <col min="11268" max="11268" width="16" customWidth="1"/>
    <col min="11269" max="11269" width="18.85546875" customWidth="1"/>
    <col min="11270" max="11270" width="10.140625" customWidth="1"/>
    <col min="11523" max="11523" width="8.140625" customWidth="1"/>
    <col min="11524" max="11524" width="16" customWidth="1"/>
    <col min="11525" max="11525" width="18.85546875" customWidth="1"/>
    <col min="11526" max="11526" width="10.140625" customWidth="1"/>
    <col min="11779" max="11779" width="8.140625" customWidth="1"/>
    <col min="11780" max="11780" width="16" customWidth="1"/>
    <col min="11781" max="11781" width="18.85546875" customWidth="1"/>
    <col min="11782" max="11782" width="10.140625" customWidth="1"/>
    <col min="12035" max="12035" width="8.140625" customWidth="1"/>
    <col min="12036" max="12036" width="16" customWidth="1"/>
    <col min="12037" max="12037" width="18.85546875" customWidth="1"/>
    <col min="12038" max="12038" width="10.140625" customWidth="1"/>
    <col min="12291" max="12291" width="8.140625" customWidth="1"/>
    <col min="12292" max="12292" width="16" customWidth="1"/>
    <col min="12293" max="12293" width="18.85546875" customWidth="1"/>
    <col min="12294" max="12294" width="10.140625" customWidth="1"/>
    <col min="12547" max="12547" width="8.140625" customWidth="1"/>
    <col min="12548" max="12548" width="16" customWidth="1"/>
    <col min="12549" max="12549" width="18.85546875" customWidth="1"/>
    <col min="12550" max="12550" width="10.140625" customWidth="1"/>
    <col min="12803" max="12803" width="8.140625" customWidth="1"/>
    <col min="12804" max="12804" width="16" customWidth="1"/>
    <col min="12805" max="12805" width="18.85546875" customWidth="1"/>
    <col min="12806" max="12806" width="10.140625" customWidth="1"/>
    <col min="13059" max="13059" width="8.140625" customWidth="1"/>
    <col min="13060" max="13060" width="16" customWidth="1"/>
    <col min="13061" max="13061" width="18.85546875" customWidth="1"/>
    <col min="13062" max="13062" width="10.140625" customWidth="1"/>
    <col min="13315" max="13315" width="8.140625" customWidth="1"/>
    <col min="13316" max="13316" width="16" customWidth="1"/>
    <col min="13317" max="13317" width="18.85546875" customWidth="1"/>
    <col min="13318" max="13318" width="10.140625" customWidth="1"/>
    <col min="13571" max="13571" width="8.140625" customWidth="1"/>
    <col min="13572" max="13572" width="16" customWidth="1"/>
    <col min="13573" max="13573" width="18.85546875" customWidth="1"/>
    <col min="13574" max="13574" width="10.140625" customWidth="1"/>
    <col min="13827" max="13827" width="8.140625" customWidth="1"/>
    <col min="13828" max="13828" width="16" customWidth="1"/>
    <col min="13829" max="13829" width="18.85546875" customWidth="1"/>
    <col min="13830" max="13830" width="10.140625" customWidth="1"/>
    <col min="14083" max="14083" width="8.140625" customWidth="1"/>
    <col min="14084" max="14084" width="16" customWidth="1"/>
    <col min="14085" max="14085" width="18.85546875" customWidth="1"/>
    <col min="14086" max="14086" width="10.140625" customWidth="1"/>
    <col min="14339" max="14339" width="8.140625" customWidth="1"/>
    <col min="14340" max="14340" width="16" customWidth="1"/>
    <col min="14341" max="14341" width="18.85546875" customWidth="1"/>
    <col min="14342" max="14342" width="10.140625" customWidth="1"/>
    <col min="14595" max="14595" width="8.140625" customWidth="1"/>
    <col min="14596" max="14596" width="16" customWidth="1"/>
    <col min="14597" max="14597" width="18.85546875" customWidth="1"/>
    <col min="14598" max="14598" width="10.140625" customWidth="1"/>
    <col min="14851" max="14851" width="8.140625" customWidth="1"/>
    <col min="14852" max="14852" width="16" customWidth="1"/>
    <col min="14853" max="14853" width="18.85546875" customWidth="1"/>
    <col min="14854" max="14854" width="10.140625" customWidth="1"/>
    <col min="15107" max="15107" width="8.140625" customWidth="1"/>
    <col min="15108" max="15108" width="16" customWidth="1"/>
    <col min="15109" max="15109" width="18.85546875" customWidth="1"/>
    <col min="15110" max="15110" width="10.140625" customWidth="1"/>
    <col min="15363" max="15363" width="8.140625" customWidth="1"/>
    <col min="15364" max="15364" width="16" customWidth="1"/>
    <col min="15365" max="15365" width="18.85546875" customWidth="1"/>
    <col min="15366" max="15366" width="10.140625" customWidth="1"/>
    <col min="15619" max="15619" width="8.140625" customWidth="1"/>
    <col min="15620" max="15620" width="16" customWidth="1"/>
    <col min="15621" max="15621" width="18.85546875" customWidth="1"/>
    <col min="15622" max="15622" width="10.140625" customWidth="1"/>
    <col min="15875" max="15875" width="8.140625" customWidth="1"/>
    <col min="15876" max="15876" width="16" customWidth="1"/>
    <col min="15877" max="15877" width="18.85546875" customWidth="1"/>
    <col min="15878" max="15878" width="10.140625" customWidth="1"/>
    <col min="16131" max="16131" width="8.140625" customWidth="1"/>
    <col min="16132" max="16132" width="16" customWidth="1"/>
    <col min="16133" max="16133" width="18.85546875" customWidth="1"/>
    <col min="16134" max="16134" width="10.140625" customWidth="1"/>
  </cols>
  <sheetData>
    <row r="1" spans="1:8" ht="15.75" thickBot="1">
      <c r="B1" s="136" t="s">
        <v>156</v>
      </c>
      <c r="C1" s="137"/>
      <c r="D1" s="137"/>
      <c r="E1" s="137"/>
      <c r="F1" s="138"/>
      <c r="H1" s="139" t="s">
        <v>157</v>
      </c>
    </row>
    <row r="2" spans="1:8">
      <c r="B2" s="140"/>
      <c r="C2" s="140"/>
      <c r="D2" s="140"/>
      <c r="E2" s="140"/>
      <c r="F2" s="140"/>
    </row>
    <row r="3" spans="1:8">
      <c r="A3" s="141" t="s">
        <v>158</v>
      </c>
      <c r="B3" s="140"/>
      <c r="C3" s="140"/>
      <c r="D3" s="140"/>
      <c r="E3" s="142" t="str">
        <f>"                                                                                   - the regulator starts folding back its switching frequency (Vin min @ 2 MHz)"</f>
        <v xml:space="preserve">                                                                                   - the regulator starts folding back its switching frequency (Vin min @ 2 MHz)</v>
      </c>
    </row>
    <row r="4" spans="1:8">
      <c r="E4" s="140" t="str">
        <f xml:space="preserve"> "                                      - the regulator loses regulation (Vin min (loss of reg) )"</f>
        <v xml:space="preserve">                                      - the regulator loses regulation (Vin min (loss of reg) )</v>
      </c>
    </row>
    <row r="5" spans="1:8">
      <c r="B5" s="143" t="s">
        <v>159</v>
      </c>
      <c r="C5" s="144">
        <v>3.3</v>
      </c>
    </row>
    <row r="6" spans="1:8" ht="15.75" thickBot="1"/>
    <row r="7" spans="1:8" ht="15.75" thickBot="1">
      <c r="C7" s="145" t="s">
        <v>160</v>
      </c>
      <c r="D7" s="146" t="s">
        <v>161</v>
      </c>
      <c r="E7" s="147" t="s">
        <v>162</v>
      </c>
    </row>
    <row r="8" spans="1:8">
      <c r="C8" s="148">
        <v>0.1</v>
      </c>
      <c r="D8" s="149">
        <f t="shared" ref="D8:D16" si="0">0.55*$C8+(1/0.9)*$C$5</f>
        <v>3.7216666666666667</v>
      </c>
      <c r="E8" s="150">
        <f t="shared" ref="E8:E16" si="1">0.55*$C8+(1/0.965)*$C$5</f>
        <v>3.4746891191709848</v>
      </c>
    </row>
    <row r="9" spans="1:8">
      <c r="C9" s="151">
        <v>0.2</v>
      </c>
      <c r="D9" s="152">
        <f t="shared" si="0"/>
        <v>3.7766666666666664</v>
      </c>
      <c r="E9" s="153">
        <f t="shared" si="1"/>
        <v>3.5296891191709845</v>
      </c>
    </row>
    <row r="10" spans="1:8">
      <c r="C10" s="151">
        <v>0.5</v>
      </c>
      <c r="D10" s="152">
        <f t="shared" si="0"/>
        <v>3.9416666666666664</v>
      </c>
      <c r="E10" s="153">
        <f t="shared" si="1"/>
        <v>3.6946891191709845</v>
      </c>
    </row>
    <row r="11" spans="1:8">
      <c r="C11" s="151">
        <v>0.8</v>
      </c>
      <c r="D11" s="152">
        <f t="shared" si="0"/>
        <v>4.1066666666666665</v>
      </c>
      <c r="E11" s="153">
        <f t="shared" si="1"/>
        <v>3.8596891191709846</v>
      </c>
    </row>
    <row r="12" spans="1:8">
      <c r="C12" s="151">
        <v>1</v>
      </c>
      <c r="D12" s="152">
        <f t="shared" si="0"/>
        <v>4.2166666666666668</v>
      </c>
      <c r="E12" s="153">
        <f t="shared" si="1"/>
        <v>3.9696891191709849</v>
      </c>
    </row>
    <row r="13" spans="1:8">
      <c r="C13" s="151">
        <v>1.2</v>
      </c>
      <c r="D13" s="152">
        <f t="shared" si="0"/>
        <v>4.3266666666666662</v>
      </c>
      <c r="E13" s="153">
        <f t="shared" si="1"/>
        <v>4.0796891191709843</v>
      </c>
    </row>
    <row r="14" spans="1:8">
      <c r="C14" s="151">
        <v>1.5</v>
      </c>
      <c r="D14" s="152">
        <f t="shared" si="0"/>
        <v>4.4916666666666663</v>
      </c>
      <c r="E14" s="153">
        <f t="shared" si="1"/>
        <v>4.2446891191709843</v>
      </c>
    </row>
    <row r="15" spans="1:8">
      <c r="C15" s="151">
        <v>1.8</v>
      </c>
      <c r="D15" s="152">
        <f t="shared" si="0"/>
        <v>4.6566666666666663</v>
      </c>
      <c r="E15" s="153">
        <f t="shared" si="1"/>
        <v>4.4096891191709844</v>
      </c>
    </row>
    <row r="16" spans="1:8" ht="15.75" thickBot="1">
      <c r="C16" s="154">
        <v>2</v>
      </c>
      <c r="D16" s="155">
        <f t="shared" si="0"/>
        <v>4.7666666666666666</v>
      </c>
      <c r="E16" s="156">
        <f t="shared" si="1"/>
        <v>4.5196891191709847</v>
      </c>
    </row>
    <row r="17" spans="2:2">
      <c r="B17" t="s">
        <v>163</v>
      </c>
    </row>
  </sheetData>
  <sheetProtection password="F725" sheet="1" objects="1" scenarios="1" selectLockedCells="1"/>
  <mergeCells count="1">
    <mergeCell ref="B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Design tool</vt:lpstr>
      <vt:lpstr>Typ Max load Thermal results</vt:lpstr>
      <vt:lpstr>Minimum Vin</vt:lpstr>
      <vt:lpstr>Cesr</vt:lpstr>
      <vt:lpstr>com_c1</vt:lpstr>
      <vt:lpstr>comp_C1</vt:lpstr>
      <vt:lpstr>comp_C2</vt:lpstr>
      <vt:lpstr>comp_R2</vt:lpstr>
      <vt:lpstr>Cout</vt:lpstr>
      <vt:lpstr>D</vt:lpstr>
      <vt:lpstr>D_</vt:lpstr>
      <vt:lpstr>Dmax</vt:lpstr>
      <vt:lpstr>Enter_Values</vt:lpstr>
      <vt:lpstr>Fsw</vt:lpstr>
      <vt:lpstr>FswMax</vt:lpstr>
      <vt:lpstr>FswNom</vt:lpstr>
      <vt:lpstr>gm</vt:lpstr>
      <vt:lpstr>Iout</vt:lpstr>
      <vt:lpstr>Iq</vt:lpstr>
      <vt:lpstr>L</vt:lpstr>
      <vt:lpstr>LDOLoad</vt:lpstr>
      <vt:lpstr>LoadRef</vt:lpstr>
      <vt:lpstr>mc</vt:lpstr>
      <vt:lpstr>OutCur</vt:lpstr>
      <vt:lpstr>R0</vt:lpstr>
      <vt:lpstr>Rdson1p2A</vt:lpstr>
      <vt:lpstr>Rout</vt:lpstr>
      <vt:lpstr>Rout_</vt:lpstr>
      <vt:lpstr>Rthetaja</vt:lpstr>
      <vt:lpstr>sssss</vt:lpstr>
      <vt:lpstr>SWscaling</vt:lpstr>
      <vt:lpstr>SWscaling3</vt:lpstr>
      <vt:lpstr>t1ref</vt:lpstr>
      <vt:lpstr>t2ref</vt:lpstr>
      <vt:lpstr>t3ref</vt:lpstr>
      <vt:lpstr>t4ref</vt:lpstr>
      <vt:lpstr>Tsw_</vt:lpstr>
      <vt:lpstr>UseLDO</vt:lpstr>
      <vt:lpstr>Vdiode</vt:lpstr>
      <vt:lpstr>Vinref</vt:lpstr>
      <vt:lpstr>Vout</vt:lpstr>
      <vt:lpstr>Vout_</vt:lpstr>
      <vt:lpstr>wp1e</vt:lpstr>
      <vt:lpstr>wp2e</vt:lpstr>
      <vt:lpstr>wz2e</vt:lpstr>
    </vt:vector>
  </TitlesOfParts>
  <Company>ON Semiconductor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Bochuan Liu</dc:creator>
  <cp:lastModifiedBy>Bochuan Liu</cp:lastModifiedBy>
  <dcterms:created xsi:type="dcterms:W3CDTF">2014-08-04T21:40:23Z</dcterms:created>
  <dcterms:modified xsi:type="dcterms:W3CDTF">2014-11-21T19:13:08Z</dcterms:modified>
</cp:coreProperties>
</file>